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eadvisors.sharepoint.com/sites/Projects-NewfoundlandPower/Shared Documents/100366 - NP ROE 2023 GRA/Data requests/Consumer Advocate/Attachments/"/>
    </mc:Choice>
  </mc:AlternateContent>
  <xr:revisionPtr revIDLastSave="168" documentId="8_{9368BDE6-A3D1-4D36-B43A-B365CE1A920A}" xr6:coauthVersionLast="47" xr6:coauthVersionMax="47" xr10:uidLastSave="{2F7C4330-50C5-41A3-838F-79B16A83F192}"/>
  <bookViews>
    <workbookView xWindow="-96" yWindow="-96" windowWidth="23232" windowHeight="12552" firstSheet="1" activeTab="1" xr2:uid="{00000000-000D-0000-FFFF-FFFF00000000}"/>
  </bookViews>
  <sheets>
    <sheet name="__snloffice" sheetId="6" state="veryHidden" r:id="rId1"/>
    <sheet name="Proxy Group Screen" sheetId="1" r:id="rId2"/>
    <sheet name="Business Segment" sheetId="7" r:id="rId3"/>
    <sheet name="FERC Form 1_2 Data" sheetId="4" r:id="rId4"/>
  </sheets>
  <externalReferences>
    <externalReference r:id="rId5"/>
  </externalReferences>
  <definedNames>
    <definedName name="_xlnm._FilterDatabase" localSheetId="3" hidden="1">'FERC Form 1_2 Data'!$C$6:$C$63</definedName>
    <definedName name="Bloomberg_Earnings_Growth">[1]Growth_Rates!$D$5:$D$66</definedName>
    <definedName name="BR">[1]Growth_Rates!$S$5:$S$66</definedName>
    <definedName name="BR_SV">[1]Growth_Rates!$AE$5:$AE$66</definedName>
    <definedName name="Company_Data_Analysts">[1]Company_Data!$G$6:$G$67</definedName>
    <definedName name="Company_Data_Avg_Beta">[1]Company_Data!$J$6:$J$67</definedName>
    <definedName name="Company_Data_B_Beta">[1]Company_Data!$I$6:$I$67</definedName>
    <definedName name="Company_Data_Coal">[1]Company_Data!$N$6:$N$67</definedName>
    <definedName name="Company_Data_Credit_Rating">[1]Company_Data!$E$6:$E$67</definedName>
    <definedName name="Company_Data_Gen_Assets">[1]Company_Data!$K$6:$K$67</definedName>
    <definedName name="Company_Data_Hydro">[1]Company_Data!$P$6:$P$67</definedName>
    <definedName name="Company_Data_MA">[1]Company_Data!$AO$6:$AO$67</definedName>
    <definedName name="Company_Data_Nuclear">[1]Company_Data!$O$6:$O$67</definedName>
    <definedName name="Company_Data_Oil">[1]Company_Data!$M$6:$M$67</definedName>
    <definedName name="Company_Data_Other">[1]Company_Data!$Q$6:$Q$67</definedName>
    <definedName name="Company_Data_Pays_Dividends">[1]Company_Data!$F$6:$F$67</definedName>
    <definedName name="Company_Data_Purchased_Power">[1]Company_Data!$R$6:$R$67</definedName>
    <definedName name="Company_Data_Reg_Assets">[1]Company_Data!$U$6:$U$67</definedName>
    <definedName name="Company_Data_Reg_Elec_Assets_To_Total_Assets">[1]Company_Data!$AG$6:$AG$67</definedName>
    <definedName name="Company_Data_Reg_Elec_Assets_To_Total_Reg">[1]Company_Data!$X$6:$X$67</definedName>
    <definedName name="Company_Data_Reg_Elec_Inc_To_Total_Inc">[1]Company_Data!$AF$6:$AF$67</definedName>
    <definedName name="Company_Data_Reg_Elec_Inc_To_Total_Reg">[1]Company_Data!$W$6:$W$67</definedName>
    <definedName name="Company_Data_Reg_Elec_Rev_To_Total_Reg">[1]Company_Data!$V$6:$V$67</definedName>
    <definedName name="Company_Data_Reg_Elec_Rev_To_Total_Rev">[1]Company_Data!$AE$6:$AE$67</definedName>
    <definedName name="Company_Data_Reg_Gas_Assets_To_Total_Assets">[1]Company_Data!$AJ$6:$AJ$67</definedName>
    <definedName name="Company_Data_Reg_Gas_Assets_To_Total_Reg">[1]Company_Data!$AA$6:$AA$67</definedName>
    <definedName name="Company_Data_Reg_Gas_Inc_To_Total_Inc">[1]Company_Data!$AI$6:$AI$67</definedName>
    <definedName name="Company_Data_Reg_Gas_Inc_To_Total_Reg">[1]Company_Data!$Z$6:$Z$67</definedName>
    <definedName name="Company_Data_Reg_Gas_Rev_To_Total_Reg">[1]Company_Data!$Y$6:$Y$67</definedName>
    <definedName name="Company_Data_Reg_Gas_Rev_To_Total_Rev">[1]Company_Data!$AH$6:$AH$67</definedName>
    <definedName name="Company_Data_Reg_Gen_Assets">[1]Company_Data!$L$6:$L$67</definedName>
    <definedName name="Company_Data_Reg_Inc">[1]Company_Data!$T$6:$T$67</definedName>
    <definedName name="Company_Data_Reg_Market">[1]Company_Data!$AN$6:$AN$67</definedName>
    <definedName name="Company_Data_Reg_Rev">[1]Company_Data!$S$6:$S$67</definedName>
    <definedName name="Company_Data_Reg_Water_Assets_To_Total_Assets">[1]Company_Data!$AM$6:$AM$67</definedName>
    <definedName name="Company_Data_Reg_Water_Assets_To_Total_Reg">[1]Company_Data!$AD$6:$AD$67</definedName>
    <definedName name="Company_Data_Reg_Water_Inc_To_Total_Inc">[1]Company_Data!$AL$6:$AL$67</definedName>
    <definedName name="Company_Data_Reg_Water_Inc_To_Total_Reg">[1]Company_Data!$AC$6:$AC$67</definedName>
    <definedName name="Company_Data_Reg_Water_Rev_To_Total_Reg">[1]Company_Data!$AB$6:$AB$67</definedName>
    <definedName name="Company_Data_Reg_Water_Rev_To_Total_Rev">[1]Company_Data!$AK$6:$AK$67</definedName>
    <definedName name="Company_Data_Ticker">[1]Company_Data!$C$6:$C$67</definedName>
    <definedName name="Company_Data_VL_Beta">[1]Company_Data!$H$6:$H$67</definedName>
    <definedName name="Constant_DCF_All_Growth">[1]Constant_DCF!$G$11:$M$72</definedName>
    <definedName name="Constant_DCF_Average_Growth">[1]Constant_DCF!$P$11:$P$72</definedName>
    <definedName name="Constant_DCF_Ticker">[1]Constant_DCF!$B$11:$B$72</definedName>
    <definedName name="Credit_Rating">[1]Credit_Rating!$C$5:$C$66</definedName>
    <definedName name="Credit_Rating_Ticker">[1]Credit_Rating!$B$5:$B$66</definedName>
    <definedName name="Dividend">[1]Dividend!$A$2:$SA$2</definedName>
    <definedName name="Dividend_Ticker">[1]Dividend!$A$1:$SA$1</definedName>
    <definedName name="Growth_Rates_Ticker">[1]Growth_Rates!$C$5:$C$66</definedName>
    <definedName name="Inputs_Credit_Rating">[1]Inputs!$J$42:$J$64</definedName>
    <definedName name="Inputs_Credit_Rating_YesNo">[1]Inputs!$K$42:$K$64</definedName>
    <definedName name="Inputs_Group">[1]Inputs!$R$92:$R$153</definedName>
    <definedName name="Inputs_Ticker">[1]Inputs!$C$92:$C$153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43885.5885648148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RY">'Business Segment'!$B$2</definedName>
    <definedName name="MRY_1">'Business Segment'!$B$3</definedName>
    <definedName name="MRY_2">'Business Segment'!$B$4</definedName>
    <definedName name="Price">[1]Price!$A$2:$HA$2</definedName>
    <definedName name="Price_Ticker">[1]Price!$A$1:$HA$1</definedName>
    <definedName name="snl__167C122C_C886_44E7_AC84_8D31C89A20BF_" localSheetId="3" hidden="1">'FERC Form 1_2 Data'!$A$6,'FERC Form 1_2 Data'!$C$11:$EY$52</definedName>
    <definedName name="snl__2028487B_11B0_492A_B6C0_6A22278EB14C_" localSheetId="3" hidden="1">'FERC Form 1_2 Data'!$A$6,'FERC Form 1_2 Data'!$C$11:$EY$56</definedName>
    <definedName name="snl__4615B2E2_49EE_4A69_8EFD_5DEDC2C3A8C9_" localSheetId="3" hidden="1">'FERC Form 1_2 Data'!$A$6,'FERC Form 1_2 Data'!$C$11:$EY$56</definedName>
    <definedName name="snl__4C19E2DF_3480_4362_BEE0_0C43C320FE1E_" localSheetId="3" hidden="1">'FERC Form 1_2 Data'!$A$6,'FERC Form 1_2 Data'!$C$11:$EY$56</definedName>
    <definedName name="snl__6D37D540_6F2B_4E9B_9C19_CBE91AA1DA86_" localSheetId="3" hidden="1">'FERC Form 1_2 Data'!$A$6,'FERC Form 1_2 Data'!$C$11:$EY$56</definedName>
    <definedName name="snl__BF4A3876_18F6_4FF6_A23F_C25058BD3A2B_" localSheetId="3" hidden="1">'FERC Form 1_2 Data'!$A$6,'FERC Form 1_2 Data'!$C$11:$EY$56</definedName>
    <definedName name="SNL_Earnings_Growth">[1]Growth_Rates!$G$5:$G$66</definedName>
    <definedName name="Update_Year_E">'Business Segment'!$C$7</definedName>
    <definedName name="Update_Year_NG">'Business Segment'!$C$7</definedName>
    <definedName name="Value_Line_Book_Value_Growth">[1]Growth_Rates!$J$5:$J$66</definedName>
    <definedName name="Value_Line_Dividends_Growth">[1]Growth_Rates!$I$5:$I$66</definedName>
    <definedName name="Value_Line_Earnings_Growth">[1]Growth_Rates!$H$5:$H$66</definedName>
    <definedName name="Yahoo_Earnings_Growth">[1]Growth_Rates!$E$5:$E$66</definedName>
    <definedName name="Zacks_Earnings_Growth">[1]Growth_Rates!$F$5:$F$66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I44" i="1"/>
  <c r="F13" i="1" l="1"/>
  <c r="F14" i="1"/>
  <c r="F15" i="1"/>
  <c r="F16" i="1"/>
  <c r="F17" i="1"/>
  <c r="F18" i="1"/>
  <c r="F19" i="1"/>
  <c r="F20" i="1"/>
  <c r="F21" i="1"/>
  <c r="F22" i="1"/>
  <c r="F23" i="1"/>
  <c r="F24" i="1"/>
  <c r="F25" i="1"/>
  <c r="F26" i="1"/>
  <c r="F27" i="1"/>
  <c r="F28" i="1"/>
  <c r="F29" i="1"/>
  <c r="F30" i="1"/>
  <c r="F31" i="1"/>
  <c r="F32" i="1"/>
  <c r="F33" i="1"/>
  <c r="F35" i="1"/>
  <c r="F36" i="1"/>
  <c r="F37" i="1"/>
  <c r="F38" i="1"/>
  <c r="F39" i="1"/>
  <c r="F40" i="1"/>
  <c r="F41" i="1"/>
  <c r="F42" i="1"/>
  <c r="F43" i="1"/>
  <c r="F9" i="1"/>
  <c r="F10" i="1"/>
  <c r="F11" i="1"/>
  <c r="F12" i="1"/>
  <c r="F8" i="1"/>
  <c r="W1045" i="7"/>
  <c r="Q1045" i="7"/>
  <c r="D1045" i="7"/>
  <c r="X1044" i="7"/>
  <c r="W1044" i="7"/>
  <c r="Q1044" i="7"/>
  <c r="D1044" i="7"/>
  <c r="R1044" i="7" s="1"/>
  <c r="X1043" i="7"/>
  <c r="W1043" i="7"/>
  <c r="Q1043" i="7"/>
  <c r="D1043" i="7"/>
  <c r="R1043" i="7" s="1"/>
  <c r="W1041" i="7"/>
  <c r="Q1041" i="7"/>
  <c r="D1041" i="7"/>
  <c r="X1040" i="7"/>
  <c r="W1040" i="7"/>
  <c r="R1040" i="7"/>
  <c r="Q1040" i="7"/>
  <c r="D1040" i="7"/>
  <c r="W1039" i="7"/>
  <c r="Q1039" i="7"/>
  <c r="D1039" i="7"/>
  <c r="W1037" i="7"/>
  <c r="R1037" i="7"/>
  <c r="Q1037" i="7"/>
  <c r="D1037" i="7"/>
  <c r="X1037" i="7" s="1"/>
  <c r="X1036" i="7"/>
  <c r="W1036" i="7"/>
  <c r="Q1036" i="7"/>
  <c r="D1036" i="7"/>
  <c r="R1036" i="7" s="1"/>
  <c r="W1035" i="7"/>
  <c r="Q1035" i="7"/>
  <c r="D1035" i="7"/>
  <c r="X1029" i="7"/>
  <c r="W1029" i="7"/>
  <c r="R1029" i="7"/>
  <c r="Q1029" i="7"/>
  <c r="D1029" i="7"/>
  <c r="X1028" i="7"/>
  <c r="W1028" i="7"/>
  <c r="R1028" i="7"/>
  <c r="Q1028" i="7"/>
  <c r="D1028" i="7"/>
  <c r="W1027" i="7"/>
  <c r="R1027" i="7"/>
  <c r="Q1027" i="7"/>
  <c r="D1027" i="7"/>
  <c r="X1027" i="7" s="1"/>
  <c r="W1025" i="7"/>
  <c r="Q1025" i="7"/>
  <c r="D1025" i="7"/>
  <c r="X1025" i="7" s="1"/>
  <c r="X1024" i="7"/>
  <c r="W1024" i="7"/>
  <c r="Q1024" i="7"/>
  <c r="D1024" i="7"/>
  <c r="R1024" i="7" s="1"/>
  <c r="X1023" i="7"/>
  <c r="W1023" i="7"/>
  <c r="Q1023" i="7"/>
  <c r="F1023" i="7"/>
  <c r="E1023" i="7"/>
  <c r="X1021" i="7"/>
  <c r="W1021" i="7"/>
  <c r="R1021" i="7"/>
  <c r="Q1021" i="7"/>
  <c r="D1021" i="7"/>
  <c r="W1020" i="7"/>
  <c r="Q1020" i="7"/>
  <c r="D1020" i="7"/>
  <c r="W1019" i="7"/>
  <c r="Q1019" i="7"/>
  <c r="D1019" i="7"/>
  <c r="X1013" i="7"/>
  <c r="W1013" i="7"/>
  <c r="R1013" i="7"/>
  <c r="Q1013" i="7"/>
  <c r="D1013" i="7"/>
  <c r="W1012" i="7"/>
  <c r="R1012" i="7"/>
  <c r="Q1012" i="7"/>
  <c r="D1012" i="7"/>
  <c r="X1012" i="7" s="1"/>
  <c r="W1011" i="7"/>
  <c r="Q1011" i="7"/>
  <c r="D1011" i="7"/>
  <c r="W1009" i="7"/>
  <c r="Q1009" i="7"/>
  <c r="D1009" i="7"/>
  <c r="W1008" i="7"/>
  <c r="Q1008" i="7"/>
  <c r="D1008" i="7"/>
  <c r="X1007" i="7"/>
  <c r="W1007" i="7"/>
  <c r="R1007" i="7"/>
  <c r="Q1007" i="7"/>
  <c r="D1007" i="7"/>
  <c r="X1005" i="7"/>
  <c r="W1005" i="7"/>
  <c r="R1005" i="7"/>
  <c r="Q1005" i="7"/>
  <c r="D1005" i="7"/>
  <c r="W1004" i="7"/>
  <c r="R1004" i="7"/>
  <c r="Q1004" i="7"/>
  <c r="D1004" i="7"/>
  <c r="X1004" i="7" s="1"/>
  <c r="W1003" i="7"/>
  <c r="Q1003" i="7"/>
  <c r="D1003" i="7"/>
  <c r="X997" i="7"/>
  <c r="W997" i="7"/>
  <c r="Q997" i="7"/>
  <c r="D997" i="7"/>
  <c r="R997" i="7" s="1"/>
  <c r="X996" i="7"/>
  <c r="W996" i="7"/>
  <c r="Q996" i="7"/>
  <c r="D996" i="7"/>
  <c r="R996" i="7" s="1"/>
  <c r="W995" i="7"/>
  <c r="Q995" i="7"/>
  <c r="D995" i="7"/>
  <c r="X993" i="7"/>
  <c r="W993" i="7"/>
  <c r="R993" i="7"/>
  <c r="Q993" i="7"/>
  <c r="D993" i="7"/>
  <c r="W992" i="7"/>
  <c r="R992" i="7"/>
  <c r="Q992" i="7"/>
  <c r="D992" i="7"/>
  <c r="X992" i="7" s="1"/>
  <c r="W991" i="7"/>
  <c r="Q991" i="7"/>
  <c r="D991" i="7"/>
  <c r="W989" i="7"/>
  <c r="Q989" i="7"/>
  <c r="D989" i="7"/>
  <c r="X988" i="7"/>
  <c r="W988" i="7"/>
  <c r="Q988" i="7"/>
  <c r="D988" i="7"/>
  <c r="R988" i="7" s="1"/>
  <c r="X987" i="7"/>
  <c r="W987" i="7"/>
  <c r="R987" i="7"/>
  <c r="Q987" i="7"/>
  <c r="D987" i="7"/>
  <c r="X981" i="7"/>
  <c r="W981" i="7"/>
  <c r="R981" i="7"/>
  <c r="Q981" i="7"/>
  <c r="D981" i="7"/>
  <c r="W980" i="7"/>
  <c r="Q980" i="7"/>
  <c r="D980" i="7"/>
  <c r="W979" i="7"/>
  <c r="Q979" i="7"/>
  <c r="D979" i="7"/>
  <c r="W977" i="7"/>
  <c r="R977" i="7"/>
  <c r="Q977" i="7"/>
  <c r="F977" i="7"/>
  <c r="D977" i="7"/>
  <c r="X977" i="7" s="1"/>
  <c r="X976" i="7"/>
  <c r="W976" i="7"/>
  <c r="Q976" i="7"/>
  <c r="D976" i="7"/>
  <c r="R976" i="7" s="1"/>
  <c r="X975" i="7"/>
  <c r="W975" i="7"/>
  <c r="Q975" i="7"/>
  <c r="D975" i="7"/>
  <c r="R975" i="7" s="1"/>
  <c r="X973" i="7"/>
  <c r="W973" i="7"/>
  <c r="R973" i="7"/>
  <c r="Q973" i="7"/>
  <c r="D973" i="7"/>
  <c r="X972" i="7"/>
  <c r="W972" i="7"/>
  <c r="R972" i="7"/>
  <c r="Q972" i="7"/>
  <c r="D972" i="7"/>
  <c r="X971" i="7"/>
  <c r="W971" i="7"/>
  <c r="R971" i="7"/>
  <c r="Q971" i="7"/>
  <c r="D971" i="7"/>
  <c r="Q965" i="7"/>
  <c r="G965" i="7"/>
  <c r="F965" i="7"/>
  <c r="E965" i="7"/>
  <c r="Q964" i="7"/>
  <c r="G964" i="7"/>
  <c r="F964" i="7"/>
  <c r="E964" i="7"/>
  <c r="Q963" i="7"/>
  <c r="G963" i="7"/>
  <c r="F963" i="7"/>
  <c r="W963" i="7" s="1"/>
  <c r="E963" i="7"/>
  <c r="D963" i="7" s="1"/>
  <c r="W961" i="7"/>
  <c r="Q961" i="7"/>
  <c r="D961" i="7"/>
  <c r="X960" i="7"/>
  <c r="W960" i="7"/>
  <c r="Q960" i="7"/>
  <c r="D960" i="7"/>
  <c r="R960" i="7" s="1"/>
  <c r="X959" i="7"/>
  <c r="W959" i="7"/>
  <c r="Q959" i="7"/>
  <c r="D959" i="7"/>
  <c r="R959" i="7" s="1"/>
  <c r="W957" i="7"/>
  <c r="Q957" i="7"/>
  <c r="D957" i="7"/>
  <c r="X957" i="7" s="1"/>
  <c r="X956" i="7"/>
  <c r="W956" i="7"/>
  <c r="R956" i="7"/>
  <c r="Q956" i="7"/>
  <c r="D956" i="7"/>
  <c r="W955" i="7"/>
  <c r="R955" i="7"/>
  <c r="Q955" i="7"/>
  <c r="D955" i="7"/>
  <c r="X955" i="7" s="1"/>
  <c r="W949" i="7"/>
  <c r="R949" i="7"/>
  <c r="X949" i="7" s="1"/>
  <c r="Q949" i="7"/>
  <c r="D949" i="7"/>
  <c r="W948" i="7"/>
  <c r="Q948" i="7"/>
  <c r="D948" i="7"/>
  <c r="R948" i="7" s="1"/>
  <c r="X948" i="7" s="1"/>
  <c r="W947" i="7"/>
  <c r="X947" i="7" s="1"/>
  <c r="Q947" i="7"/>
  <c r="D947" i="7"/>
  <c r="R947" i="7" s="1"/>
  <c r="X945" i="7"/>
  <c r="W945" i="7"/>
  <c r="R945" i="7"/>
  <c r="Q945" i="7"/>
  <c r="D945" i="7"/>
  <c r="W944" i="7"/>
  <c r="R944" i="7"/>
  <c r="X944" i="7" s="1"/>
  <c r="Q944" i="7"/>
  <c r="D944" i="7"/>
  <c r="W943" i="7"/>
  <c r="Q943" i="7"/>
  <c r="D943" i="7"/>
  <c r="R943" i="7" s="1"/>
  <c r="X943" i="7" s="1"/>
  <c r="W941" i="7"/>
  <c r="Q941" i="7"/>
  <c r="D941" i="7"/>
  <c r="R941" i="7" s="1"/>
  <c r="X941" i="7" s="1"/>
  <c r="W940" i="7"/>
  <c r="R940" i="7"/>
  <c r="X940" i="7" s="1"/>
  <c r="Q940" i="7"/>
  <c r="D940" i="7"/>
  <c r="W939" i="7"/>
  <c r="Q939" i="7"/>
  <c r="D939" i="7"/>
  <c r="R939" i="7" s="1"/>
  <c r="X939" i="7" s="1"/>
  <c r="Q933" i="7"/>
  <c r="D933" i="7"/>
  <c r="R933" i="7" s="1"/>
  <c r="Q932" i="7"/>
  <c r="D932" i="7"/>
  <c r="R932" i="7" s="1"/>
  <c r="R931" i="7"/>
  <c r="Q931" i="7"/>
  <c r="D931" i="7"/>
  <c r="Q929" i="7"/>
  <c r="D929" i="7"/>
  <c r="R929" i="7" s="1"/>
  <c r="R928" i="7"/>
  <c r="Q928" i="7"/>
  <c r="D928" i="7"/>
  <c r="Q927" i="7"/>
  <c r="D927" i="7"/>
  <c r="R927" i="7" s="1"/>
  <c r="Q925" i="7"/>
  <c r="D925" i="7"/>
  <c r="R925" i="7" s="1"/>
  <c r="Q924" i="7"/>
  <c r="D924" i="7"/>
  <c r="R924" i="7" s="1"/>
  <c r="R923" i="7"/>
  <c r="Q923" i="7"/>
  <c r="D923" i="7"/>
  <c r="Q917" i="7"/>
  <c r="D917" i="7"/>
  <c r="R917" i="7" s="1"/>
  <c r="R916" i="7"/>
  <c r="Q916" i="7"/>
  <c r="D916" i="7"/>
  <c r="Q915" i="7"/>
  <c r="D915" i="7"/>
  <c r="R915" i="7" s="1"/>
  <c r="Q913" i="7"/>
  <c r="D913" i="7"/>
  <c r="R913" i="7" s="1"/>
  <c r="Q912" i="7"/>
  <c r="D912" i="7"/>
  <c r="R912" i="7" s="1"/>
  <c r="Q911" i="7"/>
  <c r="D911" i="7"/>
  <c r="R911" i="7" s="1"/>
  <c r="Q909" i="7"/>
  <c r="D909" i="7"/>
  <c r="R909" i="7" s="1"/>
  <c r="R908" i="7"/>
  <c r="Q908" i="7"/>
  <c r="D908" i="7"/>
  <c r="Q907" i="7"/>
  <c r="D907" i="7"/>
  <c r="R907" i="7" s="1"/>
  <c r="R901" i="7"/>
  <c r="Q901" i="7"/>
  <c r="D901" i="7"/>
  <c r="Q900" i="7"/>
  <c r="D900" i="7"/>
  <c r="R900" i="7" s="1"/>
  <c r="R899" i="7"/>
  <c r="Q899" i="7"/>
  <c r="D899" i="7"/>
  <c r="Q897" i="7"/>
  <c r="D897" i="7"/>
  <c r="R897" i="7" s="1"/>
  <c r="Q896" i="7"/>
  <c r="D896" i="7"/>
  <c r="R896" i="7" s="1"/>
  <c r="Q895" i="7"/>
  <c r="D895" i="7"/>
  <c r="R895" i="7" s="1"/>
  <c r="Q893" i="7"/>
  <c r="D893" i="7"/>
  <c r="R893" i="7" s="1"/>
  <c r="Q892" i="7"/>
  <c r="D892" i="7"/>
  <c r="R892" i="7" s="1"/>
  <c r="R891" i="7"/>
  <c r="Q891" i="7"/>
  <c r="D891" i="7"/>
  <c r="AJ885" i="7"/>
  <c r="H885" i="7" s="1"/>
  <c r="AI885" i="7"/>
  <c r="G885" i="7" s="1"/>
  <c r="AH885" i="7"/>
  <c r="AG885" i="7"/>
  <c r="E885" i="7" s="1"/>
  <c r="Y885" i="7"/>
  <c r="Q885" i="7"/>
  <c r="F885" i="7"/>
  <c r="AL884" i="7"/>
  <c r="AJ884" i="7"/>
  <c r="H884" i="7" s="1"/>
  <c r="AI884" i="7"/>
  <c r="G884" i="7" s="1"/>
  <c r="AH884" i="7"/>
  <c r="F884" i="7" s="1"/>
  <c r="AG884" i="7"/>
  <c r="AF884" i="7"/>
  <c r="Y884" i="7"/>
  <c r="AK884" i="7" s="1"/>
  <c r="Q884" i="7"/>
  <c r="J884" i="7"/>
  <c r="I884" i="7"/>
  <c r="E884" i="7"/>
  <c r="Y883" i="7"/>
  <c r="AF883" i="7" s="1"/>
  <c r="Q883" i="7"/>
  <c r="R881" i="7"/>
  <c r="Q881" i="7"/>
  <c r="D881" i="7"/>
  <c r="Q880" i="7"/>
  <c r="D880" i="7"/>
  <c r="R880" i="7" s="1"/>
  <c r="Q879" i="7"/>
  <c r="D879" i="7"/>
  <c r="R879" i="7" s="1"/>
  <c r="Q877" i="7"/>
  <c r="D877" i="7"/>
  <c r="R877" i="7" s="1"/>
  <c r="Q876" i="7"/>
  <c r="D876" i="7"/>
  <c r="R876" i="7" s="1"/>
  <c r="Q875" i="7"/>
  <c r="D875" i="7"/>
  <c r="R875" i="7" s="1"/>
  <c r="Q869" i="7"/>
  <c r="D869" i="7"/>
  <c r="R869" i="7" s="1"/>
  <c r="Q868" i="7"/>
  <c r="D868" i="7"/>
  <c r="R868" i="7" s="1"/>
  <c r="Q867" i="7"/>
  <c r="D867" i="7"/>
  <c r="R867" i="7" s="1"/>
  <c r="Q865" i="7"/>
  <c r="D865" i="7"/>
  <c r="R865" i="7" s="1"/>
  <c r="R864" i="7"/>
  <c r="Q864" i="7"/>
  <c r="I864" i="7"/>
  <c r="H864" i="7"/>
  <c r="G864" i="7"/>
  <c r="F864" i="7"/>
  <c r="E864" i="7"/>
  <c r="D864" i="7" s="1"/>
  <c r="Q863" i="7"/>
  <c r="I863" i="7"/>
  <c r="H863" i="7"/>
  <c r="G863" i="7"/>
  <c r="F863" i="7"/>
  <c r="E863" i="7"/>
  <c r="D863" i="7" s="1"/>
  <c r="R863" i="7" s="1"/>
  <c r="Q861" i="7"/>
  <c r="D861" i="7"/>
  <c r="R861" i="7" s="1"/>
  <c r="R860" i="7"/>
  <c r="Q860" i="7"/>
  <c r="D860" i="7"/>
  <c r="Q859" i="7"/>
  <c r="D859" i="7"/>
  <c r="R859" i="7" s="1"/>
  <c r="R852" i="7"/>
  <c r="Q852" i="7"/>
  <c r="D852" i="7"/>
  <c r="Q851" i="7"/>
  <c r="D851" i="7"/>
  <c r="R851" i="7" s="1"/>
  <c r="R850" i="7"/>
  <c r="Q850" i="7"/>
  <c r="D850" i="7"/>
  <c r="Q848" i="7"/>
  <c r="J848" i="7"/>
  <c r="I848" i="7"/>
  <c r="D848" i="7" s="1"/>
  <c r="H848" i="7"/>
  <c r="G848" i="7"/>
  <c r="F848" i="7"/>
  <c r="E848" i="7"/>
  <c r="Q847" i="7"/>
  <c r="J847" i="7"/>
  <c r="I847" i="7"/>
  <c r="H847" i="7"/>
  <c r="G847" i="7"/>
  <c r="F847" i="7"/>
  <c r="E847" i="7"/>
  <c r="Q846" i="7"/>
  <c r="J846" i="7"/>
  <c r="I846" i="7"/>
  <c r="H846" i="7"/>
  <c r="D846" i="7" s="1"/>
  <c r="F846" i="7"/>
  <c r="E846" i="7"/>
  <c r="Q844" i="7"/>
  <c r="D844" i="7"/>
  <c r="R844" i="7" s="1"/>
  <c r="Q843" i="7"/>
  <c r="D843" i="7"/>
  <c r="R843" i="7" s="1"/>
  <c r="R842" i="7"/>
  <c r="Q842" i="7"/>
  <c r="D842" i="7"/>
  <c r="Q835" i="7"/>
  <c r="D835" i="7"/>
  <c r="R835" i="7" s="1"/>
  <c r="R834" i="7"/>
  <c r="Q834" i="7"/>
  <c r="D834" i="7"/>
  <c r="Q833" i="7"/>
  <c r="D833" i="7"/>
  <c r="R833" i="7" s="1"/>
  <c r="Q831" i="7"/>
  <c r="H831" i="7"/>
  <c r="G831" i="7"/>
  <c r="F831" i="7"/>
  <c r="E831" i="7"/>
  <c r="D831" i="7"/>
  <c r="R831" i="7" s="1"/>
  <c r="R830" i="7"/>
  <c r="Q830" i="7"/>
  <c r="H830" i="7"/>
  <c r="G830" i="7"/>
  <c r="F830" i="7"/>
  <c r="E830" i="7"/>
  <c r="D830" i="7"/>
  <c r="Q829" i="7"/>
  <c r="G829" i="7"/>
  <c r="F829" i="7"/>
  <c r="E829" i="7"/>
  <c r="R829" i="7" s="1"/>
  <c r="D829" i="7"/>
  <c r="R827" i="7"/>
  <c r="Q827" i="7"/>
  <c r="D827" i="7"/>
  <c r="Q826" i="7"/>
  <c r="D826" i="7"/>
  <c r="R826" i="7" s="1"/>
  <c r="R825" i="7"/>
  <c r="Q825" i="7"/>
  <c r="D825" i="7"/>
  <c r="Q818" i="7"/>
  <c r="D818" i="7"/>
  <c r="R818" i="7" s="1"/>
  <c r="R817" i="7"/>
  <c r="Q817" i="7"/>
  <c r="D817" i="7"/>
  <c r="Q816" i="7"/>
  <c r="D816" i="7"/>
  <c r="R816" i="7" s="1"/>
  <c r="R814" i="7"/>
  <c r="Q814" i="7"/>
  <c r="D814" i="7"/>
  <c r="Q813" i="7"/>
  <c r="D813" i="7"/>
  <c r="R813" i="7" s="1"/>
  <c r="R812" i="7"/>
  <c r="Q812" i="7"/>
  <c r="D812" i="7"/>
  <c r="Q810" i="7"/>
  <c r="D810" i="7"/>
  <c r="R810" i="7" s="1"/>
  <c r="R809" i="7"/>
  <c r="Q809" i="7"/>
  <c r="D809" i="7"/>
  <c r="Q808" i="7"/>
  <c r="D808" i="7"/>
  <c r="R808" i="7" s="1"/>
  <c r="Q803" i="7"/>
  <c r="G803" i="7"/>
  <c r="F803" i="7"/>
  <c r="E803" i="7"/>
  <c r="T802" i="7"/>
  <c r="Q802" i="7"/>
  <c r="G802" i="7"/>
  <c r="F802" i="7"/>
  <c r="E802" i="7"/>
  <c r="Q801" i="7"/>
  <c r="G801" i="7"/>
  <c r="F801" i="7"/>
  <c r="E801" i="7"/>
  <c r="Q799" i="7"/>
  <c r="Q798" i="7"/>
  <c r="Q797" i="7"/>
  <c r="D797" i="7"/>
  <c r="R797" i="7" s="1"/>
  <c r="AE795" i="7"/>
  <c r="F799" i="7" s="1"/>
  <c r="AD795" i="7"/>
  <c r="E799" i="7" s="1"/>
  <c r="T795" i="7"/>
  <c r="S795" i="7"/>
  <c r="Q795" i="7"/>
  <c r="D795" i="7"/>
  <c r="R795" i="7" s="1"/>
  <c r="AC794" i="7"/>
  <c r="AB794" i="7"/>
  <c r="U794" i="7"/>
  <c r="T794" i="7"/>
  <c r="V794" i="7" s="1"/>
  <c r="S794" i="7"/>
  <c r="Q794" i="7"/>
  <c r="D794" i="7"/>
  <c r="R794" i="7" s="1"/>
  <c r="AE793" i="7"/>
  <c r="F797" i="7" s="1"/>
  <c r="AD793" i="7"/>
  <c r="E797" i="7" s="1"/>
  <c r="S797" i="7" s="1"/>
  <c r="U793" i="7"/>
  <c r="T793" i="7"/>
  <c r="S793" i="7"/>
  <c r="R793" i="7"/>
  <c r="V793" i="7" s="1"/>
  <c r="Q793" i="7"/>
  <c r="D793" i="7"/>
  <c r="U786" i="7"/>
  <c r="Q786" i="7"/>
  <c r="F786" i="7"/>
  <c r="E786" i="7"/>
  <c r="D786" i="7"/>
  <c r="R786" i="7" s="1"/>
  <c r="V786" i="7" s="1"/>
  <c r="Q785" i="7"/>
  <c r="Q784" i="7"/>
  <c r="E784" i="7"/>
  <c r="Q782" i="7"/>
  <c r="L782" i="7"/>
  <c r="K782" i="7"/>
  <c r="J782" i="7"/>
  <c r="F782" i="7"/>
  <c r="E782" i="7"/>
  <c r="D782" i="7" s="1"/>
  <c r="R782" i="7" s="1"/>
  <c r="Q781" i="7"/>
  <c r="L781" i="7"/>
  <c r="D781" i="7" s="1"/>
  <c r="R781" i="7" s="1"/>
  <c r="K781" i="7"/>
  <c r="J781" i="7"/>
  <c r="F781" i="7"/>
  <c r="E781" i="7"/>
  <c r="V780" i="7"/>
  <c r="Q780" i="7"/>
  <c r="L780" i="7"/>
  <c r="K780" i="7"/>
  <c r="J780" i="7"/>
  <c r="F780" i="7"/>
  <c r="D780" i="7" s="1"/>
  <c r="R780" i="7" s="1"/>
  <c r="E780" i="7"/>
  <c r="T778" i="7"/>
  <c r="S778" i="7"/>
  <c r="U778" i="7" s="1"/>
  <c r="R778" i="7"/>
  <c r="Q778" i="7"/>
  <c r="D778" i="7"/>
  <c r="T777" i="7"/>
  <c r="S777" i="7"/>
  <c r="Q777" i="7"/>
  <c r="D777" i="7"/>
  <c r="T776" i="7"/>
  <c r="W778" i="7" s="1"/>
  <c r="S776" i="7"/>
  <c r="Q776" i="7"/>
  <c r="D776" i="7"/>
  <c r="U769" i="7"/>
  <c r="T769" i="7"/>
  <c r="S769" i="7"/>
  <c r="Q769" i="7"/>
  <c r="D769" i="7"/>
  <c r="R769" i="7" s="1"/>
  <c r="V768" i="7"/>
  <c r="U768" i="7"/>
  <c r="T768" i="7"/>
  <c r="S768" i="7"/>
  <c r="Q768" i="7"/>
  <c r="D768" i="7"/>
  <c r="R768" i="7" s="1"/>
  <c r="T767" i="7"/>
  <c r="S767" i="7"/>
  <c r="Q767" i="7"/>
  <c r="D767" i="7"/>
  <c r="Q765" i="7"/>
  <c r="G765" i="7"/>
  <c r="F765" i="7"/>
  <c r="E765" i="7"/>
  <c r="Q764" i="7"/>
  <c r="G764" i="7"/>
  <c r="F764" i="7"/>
  <c r="E764" i="7"/>
  <c r="Q763" i="7"/>
  <c r="G763" i="7"/>
  <c r="F763" i="7"/>
  <c r="E763" i="7"/>
  <c r="T761" i="7"/>
  <c r="W761" i="7" s="1"/>
  <c r="S761" i="7"/>
  <c r="Q761" i="7"/>
  <c r="D761" i="7"/>
  <c r="U760" i="7"/>
  <c r="T760" i="7"/>
  <c r="S760" i="7"/>
  <c r="R760" i="7"/>
  <c r="Q760" i="7"/>
  <c r="D760" i="7"/>
  <c r="V760" i="7" s="1"/>
  <c r="T759" i="7"/>
  <c r="S759" i="7"/>
  <c r="R759" i="7"/>
  <c r="Q759" i="7"/>
  <c r="D759" i="7"/>
  <c r="T752" i="7"/>
  <c r="S752" i="7"/>
  <c r="R752" i="7"/>
  <c r="Q752" i="7"/>
  <c r="D752" i="7"/>
  <c r="T751" i="7"/>
  <c r="S751" i="7"/>
  <c r="R751" i="7"/>
  <c r="Q751" i="7"/>
  <c r="D751" i="7"/>
  <c r="T750" i="7"/>
  <c r="S750" i="7"/>
  <c r="R750" i="7"/>
  <c r="Q750" i="7"/>
  <c r="D750" i="7"/>
  <c r="T748" i="7"/>
  <c r="Q748" i="7"/>
  <c r="J748" i="7"/>
  <c r="I748" i="7"/>
  <c r="H748" i="7"/>
  <c r="F748" i="7"/>
  <c r="E748" i="7"/>
  <c r="Q747" i="7"/>
  <c r="J747" i="7"/>
  <c r="I747" i="7"/>
  <c r="H747" i="7"/>
  <c r="F747" i="7"/>
  <c r="E747" i="7"/>
  <c r="T746" i="7"/>
  <c r="Q746" i="7"/>
  <c r="J746" i="7"/>
  <c r="I746" i="7"/>
  <c r="H746" i="7"/>
  <c r="F746" i="7"/>
  <c r="E746" i="7"/>
  <c r="T744" i="7"/>
  <c r="S744" i="7"/>
  <c r="R744" i="7"/>
  <c r="Q744" i="7"/>
  <c r="D744" i="7"/>
  <c r="T743" i="7"/>
  <c r="S743" i="7"/>
  <c r="R743" i="7"/>
  <c r="Q743" i="7"/>
  <c r="D743" i="7"/>
  <c r="T742" i="7"/>
  <c r="W744" i="7" s="1"/>
  <c r="S742" i="7"/>
  <c r="R742" i="7"/>
  <c r="Q742" i="7"/>
  <c r="D742" i="7"/>
  <c r="T735" i="7"/>
  <c r="S735" i="7"/>
  <c r="R735" i="7"/>
  <c r="Q735" i="7"/>
  <c r="G735" i="7"/>
  <c r="D735" i="7"/>
  <c r="T734" i="7"/>
  <c r="Q734" i="7"/>
  <c r="G734" i="7"/>
  <c r="D734" i="7" s="1"/>
  <c r="R734" i="7" s="1"/>
  <c r="V734" i="7" s="1"/>
  <c r="T733" i="7"/>
  <c r="S733" i="7"/>
  <c r="Q733" i="7"/>
  <c r="D733" i="7"/>
  <c r="R733" i="7" s="1"/>
  <c r="S731" i="7"/>
  <c r="Q731" i="7"/>
  <c r="N731" i="7"/>
  <c r="L731" i="7"/>
  <c r="K731" i="7"/>
  <c r="I731" i="7"/>
  <c r="G731" i="7"/>
  <c r="F731" i="7"/>
  <c r="E731" i="7"/>
  <c r="Q730" i="7"/>
  <c r="N730" i="7"/>
  <c r="L730" i="7"/>
  <c r="K730" i="7"/>
  <c r="G730" i="7"/>
  <c r="F730" i="7"/>
  <c r="E730" i="7"/>
  <c r="T729" i="7"/>
  <c r="Q729" i="7"/>
  <c r="N729" i="7"/>
  <c r="L729" i="7"/>
  <c r="K729" i="7"/>
  <c r="D729" i="7" s="1"/>
  <c r="R729" i="7" s="1"/>
  <c r="V729" i="7" s="1"/>
  <c r="G729" i="7"/>
  <c r="F729" i="7"/>
  <c r="E729" i="7"/>
  <c r="AN727" i="7"/>
  <c r="AM727" i="7"/>
  <c r="AK727" i="7"/>
  <c r="AJ727" i="7"/>
  <c r="AL727" i="7" s="1"/>
  <c r="AI727" i="7"/>
  <c r="AH727" i="7"/>
  <c r="AG727" i="7"/>
  <c r="AD727" i="7"/>
  <c r="AC727" i="7"/>
  <c r="T727" i="7"/>
  <c r="S727" i="7"/>
  <c r="Q727" i="7"/>
  <c r="G727" i="7"/>
  <c r="D727" i="7"/>
  <c r="R727" i="7" s="1"/>
  <c r="AJ726" i="7"/>
  <c r="AI726" i="7"/>
  <c r="AH726" i="7"/>
  <c r="AG726" i="7"/>
  <c r="AD726" i="7"/>
  <c r="AC726" i="7"/>
  <c r="T726" i="7"/>
  <c r="S726" i="7"/>
  <c r="U726" i="7" s="1"/>
  <c r="Q726" i="7"/>
  <c r="G726" i="7"/>
  <c r="D726" i="7" s="1"/>
  <c r="R726" i="7" s="1"/>
  <c r="AN725" i="7"/>
  <c r="AM725" i="7"/>
  <c r="AK725" i="7"/>
  <c r="AJ725" i="7"/>
  <c r="AI725" i="7"/>
  <c r="AH725" i="7"/>
  <c r="AG725" i="7"/>
  <c r="AD725" i="7"/>
  <c r="AC725" i="7"/>
  <c r="U725" i="7"/>
  <c r="T725" i="7"/>
  <c r="S725" i="7"/>
  <c r="Q725" i="7"/>
  <c r="G725" i="7"/>
  <c r="D725" i="7" s="1"/>
  <c r="R725" i="7" s="1"/>
  <c r="V725" i="7" s="1"/>
  <c r="U718" i="7"/>
  <c r="Q718" i="7"/>
  <c r="D718" i="7"/>
  <c r="R718" i="7" s="1"/>
  <c r="V717" i="7"/>
  <c r="R717" i="7"/>
  <c r="Q717" i="7"/>
  <c r="D717" i="7"/>
  <c r="R716" i="7"/>
  <c r="Q716" i="7"/>
  <c r="D716" i="7"/>
  <c r="U714" i="7"/>
  <c r="V714" i="7"/>
  <c r="R714" i="7"/>
  <c r="Q714" i="7"/>
  <c r="D714" i="7"/>
  <c r="V713" i="7"/>
  <c r="U713" i="7"/>
  <c r="Q713" i="7"/>
  <c r="D713" i="7"/>
  <c r="R713" i="7" s="1"/>
  <c r="V712" i="7"/>
  <c r="U712" i="7"/>
  <c r="Q712" i="7"/>
  <c r="D712" i="7"/>
  <c r="R712" i="7" s="1"/>
  <c r="V710" i="7"/>
  <c r="U710" i="7"/>
  <c r="Q710" i="7"/>
  <c r="D710" i="7"/>
  <c r="R710" i="7" s="1"/>
  <c r="V709" i="7"/>
  <c r="Q709" i="7"/>
  <c r="D709" i="7"/>
  <c r="R709" i="7" s="1"/>
  <c r="U709" i="7" s="1"/>
  <c r="U708" i="7"/>
  <c r="R708" i="7"/>
  <c r="Q708" i="7"/>
  <c r="D708" i="7"/>
  <c r="Q701" i="7"/>
  <c r="D701" i="7"/>
  <c r="Q700" i="7"/>
  <c r="D700" i="7"/>
  <c r="R699" i="7"/>
  <c r="Q699" i="7"/>
  <c r="D699" i="7"/>
  <c r="Q697" i="7"/>
  <c r="D697" i="7"/>
  <c r="Q696" i="7"/>
  <c r="D696" i="7"/>
  <c r="V695" i="7"/>
  <c r="Q695" i="7"/>
  <c r="D695" i="7"/>
  <c r="R695" i="7" s="1"/>
  <c r="U695" i="7" s="1"/>
  <c r="Q693" i="7"/>
  <c r="D693" i="7"/>
  <c r="Q692" i="7"/>
  <c r="D692" i="7"/>
  <c r="Q691" i="7"/>
  <c r="D691" i="7"/>
  <c r="R691" i="7" s="1"/>
  <c r="U691" i="7" s="1"/>
  <c r="V684" i="7"/>
  <c r="S684" i="7"/>
  <c r="R684" i="7"/>
  <c r="U684" i="7" s="1"/>
  <c r="Q684" i="7"/>
  <c r="D684" i="7"/>
  <c r="V683" i="7"/>
  <c r="S683" i="7"/>
  <c r="R683" i="7"/>
  <c r="U683" i="7" s="1"/>
  <c r="Q683" i="7"/>
  <c r="D683" i="7"/>
  <c r="S682" i="7"/>
  <c r="R682" i="7"/>
  <c r="Q682" i="7"/>
  <c r="D682" i="7"/>
  <c r="S680" i="7"/>
  <c r="Q680" i="7"/>
  <c r="D680" i="7"/>
  <c r="R680" i="7" s="1"/>
  <c r="V679" i="7"/>
  <c r="S679" i="7"/>
  <c r="Q679" i="7"/>
  <c r="D679" i="7"/>
  <c r="R679" i="7" s="1"/>
  <c r="U679" i="7" s="1"/>
  <c r="V678" i="7"/>
  <c r="S678" i="7"/>
  <c r="Q678" i="7"/>
  <c r="D678" i="7"/>
  <c r="R678" i="7" s="1"/>
  <c r="U678" i="7" s="1"/>
  <c r="S676" i="7"/>
  <c r="R676" i="7"/>
  <c r="Q676" i="7"/>
  <c r="D676" i="7"/>
  <c r="S675" i="7"/>
  <c r="R675" i="7"/>
  <c r="U675" i="7" s="1"/>
  <c r="Q675" i="7"/>
  <c r="D675" i="7"/>
  <c r="S674" i="7"/>
  <c r="Q674" i="7"/>
  <c r="D674" i="7"/>
  <c r="R674" i="7" s="1"/>
  <c r="S667" i="7"/>
  <c r="R667" i="7"/>
  <c r="Q667" i="7"/>
  <c r="G667" i="7"/>
  <c r="D667" i="7"/>
  <c r="S666" i="7"/>
  <c r="Q666" i="7"/>
  <c r="G666" i="7"/>
  <c r="D666" i="7" s="1"/>
  <c r="R666" i="7" s="1"/>
  <c r="S665" i="7"/>
  <c r="Q665" i="7"/>
  <c r="G665" i="7"/>
  <c r="D665" i="7" s="1"/>
  <c r="R665" i="7" s="1"/>
  <c r="V663" i="7"/>
  <c r="S663" i="7"/>
  <c r="R663" i="7"/>
  <c r="U663" i="7" s="1"/>
  <c r="Q663" i="7"/>
  <c r="G663" i="7"/>
  <c r="D663" i="7"/>
  <c r="S662" i="7"/>
  <c r="R662" i="7"/>
  <c r="Q662" i="7"/>
  <c r="G662" i="7"/>
  <c r="D662" i="7" s="1"/>
  <c r="S661" i="7"/>
  <c r="Q661" i="7"/>
  <c r="G661" i="7"/>
  <c r="D661" i="7" s="1"/>
  <c r="R661" i="7" s="1"/>
  <c r="S659" i="7"/>
  <c r="Q659" i="7"/>
  <c r="G659" i="7"/>
  <c r="D659" i="7"/>
  <c r="R659" i="7" s="1"/>
  <c r="S658" i="7"/>
  <c r="R658" i="7"/>
  <c r="Q658" i="7"/>
  <c r="G658" i="7"/>
  <c r="D658" i="7"/>
  <c r="S657" i="7"/>
  <c r="R657" i="7"/>
  <c r="Q657" i="7"/>
  <c r="G657" i="7"/>
  <c r="D657" i="7" s="1"/>
  <c r="S650" i="7"/>
  <c r="R650" i="7"/>
  <c r="Q650" i="7"/>
  <c r="F650" i="7"/>
  <c r="D650" i="7"/>
  <c r="S649" i="7"/>
  <c r="Z651" i="7" s="1"/>
  <c r="Q649" i="7"/>
  <c r="F649" i="7"/>
  <c r="D649" i="7" s="1"/>
  <c r="R649" i="7" s="1"/>
  <c r="U648" i="7"/>
  <c r="S648" i="7"/>
  <c r="Q648" i="7"/>
  <c r="F648" i="7"/>
  <c r="D648" i="7" s="1"/>
  <c r="R648" i="7" s="1"/>
  <c r="V648" i="7" s="1"/>
  <c r="S646" i="7"/>
  <c r="Q646" i="7"/>
  <c r="F646" i="7"/>
  <c r="D646" i="7" s="1"/>
  <c r="R646" i="7" s="1"/>
  <c r="S645" i="7"/>
  <c r="Q645" i="7"/>
  <c r="F645" i="7"/>
  <c r="D645" i="7" s="1"/>
  <c r="R645" i="7" s="1"/>
  <c r="V644" i="7"/>
  <c r="U644" i="7"/>
  <c r="S644" i="7"/>
  <c r="Q644" i="7"/>
  <c r="F644" i="7"/>
  <c r="D644" i="7"/>
  <c r="R644" i="7" s="1"/>
  <c r="U642" i="7"/>
  <c r="S642" i="7"/>
  <c r="Q642" i="7"/>
  <c r="F642" i="7"/>
  <c r="D642" i="7"/>
  <c r="R642" i="7" s="1"/>
  <c r="V642" i="7" s="1"/>
  <c r="V641" i="7"/>
  <c r="S641" i="7"/>
  <c r="Q641" i="7"/>
  <c r="F641" i="7"/>
  <c r="D641" i="7"/>
  <c r="R641" i="7" s="1"/>
  <c r="S640" i="7"/>
  <c r="R640" i="7"/>
  <c r="U640" i="7" s="1"/>
  <c r="Q640" i="7"/>
  <c r="F640" i="7"/>
  <c r="D640" i="7"/>
  <c r="Q633" i="7"/>
  <c r="G633" i="7"/>
  <c r="D633" i="7"/>
  <c r="F632" i="7"/>
  <c r="E632" i="7"/>
  <c r="Q632" i="7"/>
  <c r="G632" i="7"/>
  <c r="D632" i="7"/>
  <c r="F631" i="7"/>
  <c r="E631" i="7"/>
  <c r="R631" i="7" s="1"/>
  <c r="Q631" i="7"/>
  <c r="D631" i="7"/>
  <c r="G631" i="7" s="1"/>
  <c r="Q629" i="7"/>
  <c r="G629" i="7"/>
  <c r="R629" i="7"/>
  <c r="D629" i="7"/>
  <c r="Q628" i="7"/>
  <c r="D628" i="7"/>
  <c r="Q627" i="7"/>
  <c r="D627" i="7"/>
  <c r="T625" i="7"/>
  <c r="S625" i="7"/>
  <c r="Q625" i="7"/>
  <c r="D625" i="7"/>
  <c r="R625" i="7" s="1"/>
  <c r="T624" i="7"/>
  <c r="S624" i="7"/>
  <c r="Q624" i="7"/>
  <c r="D624" i="7"/>
  <c r="R624" i="7" s="1"/>
  <c r="T623" i="7"/>
  <c r="S623" i="7"/>
  <c r="Q623" i="7"/>
  <c r="D623" i="7"/>
  <c r="R623" i="7" s="1"/>
  <c r="U623" i="7" s="1"/>
  <c r="V616" i="7"/>
  <c r="S616" i="7"/>
  <c r="Q616" i="7"/>
  <c r="D616" i="7"/>
  <c r="R616" i="7" s="1"/>
  <c r="U616" i="7" s="1"/>
  <c r="V615" i="7"/>
  <c r="S615" i="7"/>
  <c r="R615" i="7"/>
  <c r="Q615" i="7"/>
  <c r="D615" i="7"/>
  <c r="S614" i="7"/>
  <c r="R614" i="7"/>
  <c r="Q614" i="7"/>
  <c r="D614" i="7"/>
  <c r="S612" i="7"/>
  <c r="Q612" i="7"/>
  <c r="D612" i="7"/>
  <c r="R612" i="7" s="1"/>
  <c r="S611" i="7"/>
  <c r="Q611" i="7"/>
  <c r="D611" i="7"/>
  <c r="R611" i="7" s="1"/>
  <c r="V610" i="7"/>
  <c r="S610" i="7"/>
  <c r="Q610" i="7"/>
  <c r="D610" i="7"/>
  <c r="R610" i="7" s="1"/>
  <c r="U610" i="7" s="1"/>
  <c r="S608" i="7"/>
  <c r="Q608" i="7"/>
  <c r="D608" i="7"/>
  <c r="R608" i="7" s="1"/>
  <c r="V607" i="7"/>
  <c r="S607" i="7"/>
  <c r="R607" i="7"/>
  <c r="U607" i="7" s="1"/>
  <c r="Q607" i="7"/>
  <c r="D607" i="7"/>
  <c r="V606" i="7"/>
  <c r="S606" i="7"/>
  <c r="R606" i="7"/>
  <c r="U606" i="7" s="1"/>
  <c r="Q606" i="7"/>
  <c r="D606" i="7"/>
  <c r="U599" i="7"/>
  <c r="T599" i="7"/>
  <c r="S599" i="7"/>
  <c r="R599" i="7"/>
  <c r="Q599" i="7"/>
  <c r="D599" i="7"/>
  <c r="T598" i="7"/>
  <c r="S598" i="7"/>
  <c r="Z600" i="7" s="1"/>
  <c r="R598" i="7"/>
  <c r="Q598" i="7"/>
  <c r="D598" i="7"/>
  <c r="T597" i="7"/>
  <c r="V597" i="7" s="1"/>
  <c r="S597" i="7"/>
  <c r="R597" i="7"/>
  <c r="Q597" i="7"/>
  <c r="D597" i="7"/>
  <c r="Z596" i="7"/>
  <c r="V595" i="7"/>
  <c r="U595" i="7"/>
  <c r="T595" i="7"/>
  <c r="S595" i="7"/>
  <c r="Q595" i="7"/>
  <c r="D595" i="7"/>
  <c r="R595" i="7" s="1"/>
  <c r="U594" i="7"/>
  <c r="T594" i="7"/>
  <c r="S594" i="7"/>
  <c r="Q594" i="7"/>
  <c r="D594" i="7"/>
  <c r="R594" i="7" s="1"/>
  <c r="V594" i="7" s="1"/>
  <c r="T593" i="7"/>
  <c r="S593" i="7"/>
  <c r="Q593" i="7"/>
  <c r="D593" i="7"/>
  <c r="R593" i="7" s="1"/>
  <c r="U593" i="7" s="1"/>
  <c r="T591" i="7"/>
  <c r="S591" i="7"/>
  <c r="Q591" i="7"/>
  <c r="D591" i="7"/>
  <c r="R591" i="7" s="1"/>
  <c r="V591" i="7" s="1"/>
  <c r="U590" i="7"/>
  <c r="T590" i="7"/>
  <c r="S590" i="7"/>
  <c r="Z592" i="7" s="1"/>
  <c r="R590" i="7"/>
  <c r="V590" i="7" s="1"/>
  <c r="Q590" i="7"/>
  <c r="D590" i="7"/>
  <c r="V589" i="7"/>
  <c r="T589" i="7"/>
  <c r="S589" i="7"/>
  <c r="Q589" i="7"/>
  <c r="D589" i="7"/>
  <c r="R589" i="7" s="1"/>
  <c r="U589" i="7" s="1"/>
  <c r="V582" i="7"/>
  <c r="T582" i="7"/>
  <c r="S582" i="7"/>
  <c r="Q582" i="7"/>
  <c r="D582" i="7"/>
  <c r="R582" i="7" s="1"/>
  <c r="U582" i="7" s="1"/>
  <c r="V581" i="7"/>
  <c r="T581" i="7"/>
  <c r="S581" i="7"/>
  <c r="Q581" i="7"/>
  <c r="D581" i="7"/>
  <c r="R581" i="7" s="1"/>
  <c r="U581" i="7" s="1"/>
  <c r="T580" i="7"/>
  <c r="S580" i="7"/>
  <c r="R580" i="7"/>
  <c r="Q580" i="7"/>
  <c r="D580" i="7"/>
  <c r="T578" i="7"/>
  <c r="S578" i="7"/>
  <c r="R578" i="7"/>
  <c r="Q578" i="7"/>
  <c r="D578" i="7"/>
  <c r="T577" i="7"/>
  <c r="S577" i="7"/>
  <c r="R577" i="7"/>
  <c r="Q577" i="7"/>
  <c r="D577" i="7"/>
  <c r="T576" i="7"/>
  <c r="S576" i="7"/>
  <c r="R576" i="7"/>
  <c r="Q576" i="7"/>
  <c r="D576" i="7"/>
  <c r="T574" i="7"/>
  <c r="S574" i="7"/>
  <c r="Q574" i="7"/>
  <c r="D574" i="7"/>
  <c r="R574" i="7" s="1"/>
  <c r="T573" i="7"/>
  <c r="S573" i="7"/>
  <c r="Q573" i="7"/>
  <c r="D573" i="7"/>
  <c r="R573" i="7" s="1"/>
  <c r="T572" i="7"/>
  <c r="S572" i="7"/>
  <c r="Q572" i="7"/>
  <c r="D572" i="7"/>
  <c r="R572" i="7" s="1"/>
  <c r="U572" i="7" s="1"/>
  <c r="S565" i="7"/>
  <c r="Q565" i="7"/>
  <c r="D565" i="7"/>
  <c r="R565" i="7" s="1"/>
  <c r="S564" i="7"/>
  <c r="Q564" i="7"/>
  <c r="D564" i="7"/>
  <c r="R564" i="7" s="1"/>
  <c r="V563" i="7"/>
  <c r="S563" i="7"/>
  <c r="U563" i="7" s="1"/>
  <c r="Q563" i="7"/>
  <c r="D563" i="7"/>
  <c r="R563" i="7" s="1"/>
  <c r="Q561" i="7"/>
  <c r="G561" i="7"/>
  <c r="F561" i="7"/>
  <c r="E561" i="7"/>
  <c r="S560" i="7"/>
  <c r="Q560" i="7"/>
  <c r="G560" i="7"/>
  <c r="F560" i="7"/>
  <c r="D560" i="7" s="1"/>
  <c r="R560" i="7" s="1"/>
  <c r="E560" i="7"/>
  <c r="S559" i="7"/>
  <c r="R559" i="7"/>
  <c r="Q559" i="7"/>
  <c r="G559" i="7"/>
  <c r="F559" i="7"/>
  <c r="E559" i="7"/>
  <c r="D559" i="7"/>
  <c r="S557" i="7"/>
  <c r="R557" i="7"/>
  <c r="U557" i="7" s="1"/>
  <c r="Q557" i="7"/>
  <c r="D557" i="7"/>
  <c r="S556" i="7"/>
  <c r="R556" i="7"/>
  <c r="Q556" i="7"/>
  <c r="D556" i="7"/>
  <c r="S555" i="7"/>
  <c r="Q555" i="7"/>
  <c r="D555" i="7"/>
  <c r="R555" i="7" s="1"/>
  <c r="T548" i="7"/>
  <c r="S548" i="7"/>
  <c r="Q548" i="7"/>
  <c r="D548" i="7"/>
  <c r="R548" i="7" s="1"/>
  <c r="T547" i="7"/>
  <c r="S547" i="7"/>
  <c r="Q547" i="7"/>
  <c r="D547" i="7"/>
  <c r="R547" i="7" s="1"/>
  <c r="U547" i="7" s="1"/>
  <c r="T546" i="7"/>
  <c r="S546" i="7"/>
  <c r="R546" i="7"/>
  <c r="Q546" i="7"/>
  <c r="D546" i="7"/>
  <c r="V544" i="7"/>
  <c r="U544" i="7"/>
  <c r="T544" i="7"/>
  <c r="S544" i="7"/>
  <c r="R544" i="7"/>
  <c r="Q544" i="7"/>
  <c r="D544" i="7"/>
  <c r="U543" i="7"/>
  <c r="T543" i="7"/>
  <c r="S543" i="7"/>
  <c r="Q543" i="7"/>
  <c r="D543" i="7"/>
  <c r="R543" i="7" s="1"/>
  <c r="V543" i="7" s="1"/>
  <c r="V542" i="7"/>
  <c r="T542" i="7"/>
  <c r="S542" i="7"/>
  <c r="Q542" i="7"/>
  <c r="D542" i="7"/>
  <c r="R542" i="7" s="1"/>
  <c r="T540" i="7"/>
  <c r="S540" i="7"/>
  <c r="R540" i="7"/>
  <c r="Q540" i="7"/>
  <c r="D540" i="7"/>
  <c r="T539" i="7"/>
  <c r="S539" i="7"/>
  <c r="R539" i="7"/>
  <c r="Q539" i="7"/>
  <c r="D539" i="7"/>
  <c r="T538" i="7"/>
  <c r="S538" i="7"/>
  <c r="R538" i="7"/>
  <c r="Q538" i="7"/>
  <c r="D538" i="7"/>
  <c r="S532" i="7"/>
  <c r="Q532" i="7"/>
  <c r="D532" i="7"/>
  <c r="R532" i="7" s="1"/>
  <c r="V531" i="7"/>
  <c r="S531" i="7"/>
  <c r="Q531" i="7"/>
  <c r="D531" i="7"/>
  <c r="R531" i="7" s="1"/>
  <c r="U531" i="7" s="1"/>
  <c r="V530" i="7"/>
  <c r="S530" i="7"/>
  <c r="Q530" i="7"/>
  <c r="D530" i="7"/>
  <c r="R530" i="7" s="1"/>
  <c r="U530" i="7" s="1"/>
  <c r="S528" i="7"/>
  <c r="R528" i="7"/>
  <c r="Q528" i="7"/>
  <c r="D528" i="7"/>
  <c r="S527" i="7"/>
  <c r="Q527" i="7"/>
  <c r="D527" i="7"/>
  <c r="R527" i="7" s="1"/>
  <c r="S526" i="7"/>
  <c r="Q526" i="7"/>
  <c r="D526" i="7"/>
  <c r="R526" i="7" s="1"/>
  <c r="V524" i="7"/>
  <c r="S524" i="7"/>
  <c r="R524" i="7"/>
  <c r="U524" i="7" s="1"/>
  <c r="Q524" i="7"/>
  <c r="D524" i="7"/>
  <c r="S523" i="7"/>
  <c r="Q523" i="7"/>
  <c r="D523" i="7"/>
  <c r="R523" i="7" s="1"/>
  <c r="V522" i="7"/>
  <c r="S522" i="7"/>
  <c r="R522" i="7"/>
  <c r="Q522" i="7"/>
  <c r="D522" i="7"/>
  <c r="S515" i="7"/>
  <c r="U515" i="7" s="1"/>
  <c r="R515" i="7"/>
  <c r="V515" i="7" s="1"/>
  <c r="Q515" i="7"/>
  <c r="D515" i="7"/>
  <c r="S514" i="7"/>
  <c r="R514" i="7"/>
  <c r="U514" i="7" s="1"/>
  <c r="Q514" i="7"/>
  <c r="D514" i="7"/>
  <c r="S513" i="7"/>
  <c r="Q513" i="7"/>
  <c r="D513" i="7"/>
  <c r="R513" i="7" s="1"/>
  <c r="S511" i="7"/>
  <c r="Q511" i="7"/>
  <c r="D511" i="7"/>
  <c r="R511" i="7" s="1"/>
  <c r="S510" i="7"/>
  <c r="R510" i="7"/>
  <c r="U510" i="7" s="1"/>
  <c r="Q510" i="7"/>
  <c r="D510" i="7"/>
  <c r="S509" i="7"/>
  <c r="R509" i="7"/>
  <c r="Q509" i="7"/>
  <c r="D509" i="7"/>
  <c r="S507" i="7"/>
  <c r="Q507" i="7"/>
  <c r="D507" i="7"/>
  <c r="R507" i="7" s="1"/>
  <c r="S506" i="7"/>
  <c r="Q506" i="7"/>
  <c r="D506" i="7"/>
  <c r="R506" i="7" s="1"/>
  <c r="V505" i="7"/>
  <c r="U505" i="7"/>
  <c r="S505" i="7"/>
  <c r="Q505" i="7"/>
  <c r="D505" i="7"/>
  <c r="R505" i="7" s="1"/>
  <c r="S498" i="7"/>
  <c r="R498" i="7"/>
  <c r="Q498" i="7"/>
  <c r="D498" i="7"/>
  <c r="S497" i="7"/>
  <c r="R497" i="7"/>
  <c r="Q497" i="7"/>
  <c r="D497" i="7"/>
  <c r="S496" i="7"/>
  <c r="R496" i="7"/>
  <c r="U496" i="7" s="1"/>
  <c r="Q496" i="7"/>
  <c r="D496" i="7"/>
  <c r="U494" i="7"/>
  <c r="S494" i="7"/>
  <c r="R494" i="7"/>
  <c r="V494" i="7" s="1"/>
  <c r="Q494" i="7"/>
  <c r="D494" i="7"/>
  <c r="S493" i="7"/>
  <c r="R493" i="7"/>
  <c r="Q493" i="7"/>
  <c r="D493" i="7"/>
  <c r="S492" i="7"/>
  <c r="Q492" i="7"/>
  <c r="D492" i="7"/>
  <c r="R492" i="7" s="1"/>
  <c r="S490" i="7"/>
  <c r="R490" i="7"/>
  <c r="Q490" i="7"/>
  <c r="D490" i="7"/>
  <c r="V489" i="7"/>
  <c r="S489" i="7"/>
  <c r="R489" i="7"/>
  <c r="Q489" i="7"/>
  <c r="D489" i="7"/>
  <c r="S488" i="7"/>
  <c r="R488" i="7"/>
  <c r="Q488" i="7"/>
  <c r="D488" i="7"/>
  <c r="Q481" i="7"/>
  <c r="D481" i="7"/>
  <c r="R481" i="7" s="1"/>
  <c r="R480" i="7"/>
  <c r="Q480" i="7"/>
  <c r="D480" i="7"/>
  <c r="V479" i="7"/>
  <c r="R479" i="7"/>
  <c r="Q479" i="7"/>
  <c r="D479" i="7"/>
  <c r="Q477" i="7"/>
  <c r="D477" i="7"/>
  <c r="R477" i="7" s="1"/>
  <c r="Q476" i="7"/>
  <c r="D476" i="7"/>
  <c r="R476" i="7" s="1"/>
  <c r="R475" i="7"/>
  <c r="Q475" i="7"/>
  <c r="D475" i="7"/>
  <c r="R473" i="7"/>
  <c r="Q473" i="7"/>
  <c r="D473" i="7"/>
  <c r="R472" i="7"/>
  <c r="Q472" i="7"/>
  <c r="D472" i="7"/>
  <c r="U471" i="7"/>
  <c r="R471" i="7"/>
  <c r="Q471" i="7"/>
  <c r="D471" i="7"/>
  <c r="V465" i="7"/>
  <c r="U465" i="7"/>
  <c r="S465" i="7"/>
  <c r="R465" i="7"/>
  <c r="Q465" i="7"/>
  <c r="D465" i="7"/>
  <c r="V464" i="7"/>
  <c r="U464" i="7"/>
  <c r="S464" i="7"/>
  <c r="R464" i="7"/>
  <c r="Q464" i="7"/>
  <c r="D464" i="7"/>
  <c r="V463" i="7"/>
  <c r="U463" i="7"/>
  <c r="S463" i="7"/>
  <c r="R463" i="7"/>
  <c r="Q463" i="7"/>
  <c r="D463" i="7"/>
  <c r="V461" i="7"/>
  <c r="U461" i="7"/>
  <c r="S461" i="7"/>
  <c r="R461" i="7"/>
  <c r="Q461" i="7"/>
  <c r="D461" i="7"/>
  <c r="V460" i="7"/>
  <c r="U460" i="7"/>
  <c r="S460" i="7"/>
  <c r="R460" i="7"/>
  <c r="Q460" i="7"/>
  <c r="D460" i="7"/>
  <c r="V459" i="7"/>
  <c r="U459" i="7"/>
  <c r="S459" i="7"/>
  <c r="R459" i="7"/>
  <c r="Q459" i="7"/>
  <c r="D459" i="7"/>
  <c r="V457" i="7"/>
  <c r="U457" i="7"/>
  <c r="S457" i="7"/>
  <c r="R457" i="7"/>
  <c r="Q457" i="7"/>
  <c r="D457" i="7"/>
  <c r="V456" i="7"/>
  <c r="U456" i="7"/>
  <c r="S456" i="7"/>
  <c r="R456" i="7"/>
  <c r="Q456" i="7"/>
  <c r="D456" i="7"/>
  <c r="V455" i="7"/>
  <c r="U455" i="7"/>
  <c r="S455" i="7"/>
  <c r="R455" i="7"/>
  <c r="Q455" i="7"/>
  <c r="D455" i="7"/>
  <c r="V449" i="7"/>
  <c r="U449" i="7"/>
  <c r="T449" i="7"/>
  <c r="S449" i="7"/>
  <c r="Q449" i="7"/>
  <c r="D449" i="7"/>
  <c r="R449" i="7" s="1"/>
  <c r="V448" i="7"/>
  <c r="U448" i="7"/>
  <c r="T448" i="7"/>
  <c r="S448" i="7"/>
  <c r="Q448" i="7"/>
  <c r="D448" i="7"/>
  <c r="R448" i="7" s="1"/>
  <c r="V447" i="7"/>
  <c r="U447" i="7"/>
  <c r="T447" i="7"/>
  <c r="S447" i="7"/>
  <c r="Q447" i="7"/>
  <c r="D447" i="7"/>
  <c r="R447" i="7" s="1"/>
  <c r="T445" i="7"/>
  <c r="V445" i="7" s="1"/>
  <c r="S445" i="7"/>
  <c r="Q445" i="7"/>
  <c r="D445" i="7"/>
  <c r="R445" i="7" s="1"/>
  <c r="U445" i="7" s="1"/>
  <c r="U444" i="7"/>
  <c r="T444" i="7"/>
  <c r="S444" i="7"/>
  <c r="R444" i="7"/>
  <c r="Q444" i="7"/>
  <c r="D444" i="7"/>
  <c r="V443" i="7"/>
  <c r="U443" i="7"/>
  <c r="T443" i="7"/>
  <c r="S443" i="7"/>
  <c r="Q443" i="7"/>
  <c r="D443" i="7"/>
  <c r="R443" i="7" s="1"/>
  <c r="V441" i="7"/>
  <c r="T441" i="7"/>
  <c r="S441" i="7"/>
  <c r="Q441" i="7"/>
  <c r="D441" i="7"/>
  <c r="R441" i="7" s="1"/>
  <c r="U441" i="7" s="1"/>
  <c r="T440" i="7"/>
  <c r="S440" i="7"/>
  <c r="Q440" i="7"/>
  <c r="D440" i="7"/>
  <c r="R440" i="7" s="1"/>
  <c r="U440" i="7" s="1"/>
  <c r="T439" i="7"/>
  <c r="S439" i="7"/>
  <c r="U439" i="7" s="1"/>
  <c r="R439" i="7"/>
  <c r="V439" i="7" s="1"/>
  <c r="Q439" i="7"/>
  <c r="D439" i="7"/>
  <c r="R432" i="7"/>
  <c r="Q432" i="7"/>
  <c r="D432" i="7"/>
  <c r="R431" i="7"/>
  <c r="Q431" i="7"/>
  <c r="D431" i="7"/>
  <c r="R430" i="7"/>
  <c r="Q430" i="7"/>
  <c r="D430" i="7"/>
  <c r="Q428" i="7"/>
  <c r="H428" i="7"/>
  <c r="G428" i="7"/>
  <c r="F428" i="7"/>
  <c r="E428" i="7"/>
  <c r="V427" i="7"/>
  <c r="Q427" i="7"/>
  <c r="H427" i="7"/>
  <c r="D427" i="7" s="1"/>
  <c r="R427" i="7" s="1"/>
  <c r="U427" i="7" s="1"/>
  <c r="G427" i="7"/>
  <c r="F427" i="7"/>
  <c r="E427" i="7"/>
  <c r="Q426" i="7"/>
  <c r="H426" i="7"/>
  <c r="G426" i="7"/>
  <c r="F426" i="7"/>
  <c r="E426" i="7"/>
  <c r="D426" i="7" s="1"/>
  <c r="R426" i="7" s="1"/>
  <c r="R424" i="7"/>
  <c r="Q424" i="7"/>
  <c r="D424" i="7"/>
  <c r="R423" i="7"/>
  <c r="Q423" i="7"/>
  <c r="D423" i="7"/>
  <c r="Q422" i="7"/>
  <c r="D422" i="7"/>
  <c r="R422" i="7" s="1"/>
  <c r="S415" i="7"/>
  <c r="Q415" i="7"/>
  <c r="D415" i="7"/>
  <c r="R415" i="7" s="1"/>
  <c r="S414" i="7"/>
  <c r="Q414" i="7"/>
  <c r="D414" i="7"/>
  <c r="R414" i="7" s="1"/>
  <c r="U414" i="7" s="1"/>
  <c r="V413" i="7"/>
  <c r="U413" i="7"/>
  <c r="S413" i="7"/>
  <c r="Q413" i="7"/>
  <c r="D413" i="7"/>
  <c r="R413" i="7" s="1"/>
  <c r="V411" i="7"/>
  <c r="S411" i="7"/>
  <c r="U411" i="7" s="1"/>
  <c r="Q411" i="7"/>
  <c r="D411" i="7"/>
  <c r="R411" i="7" s="1"/>
  <c r="V410" i="7"/>
  <c r="U410" i="7"/>
  <c r="S410" i="7"/>
  <c r="Q410" i="7"/>
  <c r="F410" i="7"/>
  <c r="D410" i="7"/>
  <c r="R410" i="7" s="1"/>
  <c r="V409" i="7"/>
  <c r="U409" i="7"/>
  <c r="S409" i="7"/>
  <c r="Q409" i="7"/>
  <c r="D409" i="7"/>
  <c r="R409" i="7" s="1"/>
  <c r="V407" i="7"/>
  <c r="S407" i="7"/>
  <c r="U407" i="7" s="1"/>
  <c r="Q407" i="7"/>
  <c r="D407" i="7"/>
  <c r="R407" i="7" s="1"/>
  <c r="V406" i="7"/>
  <c r="S406" i="7"/>
  <c r="U406" i="7" s="1"/>
  <c r="Q406" i="7"/>
  <c r="D406" i="7"/>
  <c r="R406" i="7" s="1"/>
  <c r="V405" i="7"/>
  <c r="S405" i="7"/>
  <c r="Q405" i="7"/>
  <c r="D405" i="7"/>
  <c r="R405" i="7" s="1"/>
  <c r="U405" i="7" s="1"/>
  <c r="T398" i="7"/>
  <c r="S398" i="7"/>
  <c r="R398" i="7"/>
  <c r="Q398" i="7"/>
  <c r="D398" i="7"/>
  <c r="V397" i="7"/>
  <c r="U397" i="7"/>
  <c r="T397" i="7"/>
  <c r="S397" i="7"/>
  <c r="R397" i="7"/>
  <c r="Q397" i="7"/>
  <c r="D397" i="7"/>
  <c r="T396" i="7"/>
  <c r="V396" i="7" s="1"/>
  <c r="S396" i="7"/>
  <c r="Q396" i="7"/>
  <c r="D396" i="7"/>
  <c r="R396" i="7" s="1"/>
  <c r="U396" i="7" s="1"/>
  <c r="U394" i="7"/>
  <c r="T394" i="7"/>
  <c r="S394" i="7"/>
  <c r="R394" i="7"/>
  <c r="Q394" i="7"/>
  <c r="D394" i="7"/>
  <c r="V393" i="7"/>
  <c r="U393" i="7"/>
  <c r="T393" i="7"/>
  <c r="S393" i="7"/>
  <c r="Q393" i="7"/>
  <c r="D393" i="7"/>
  <c r="R393" i="7" s="1"/>
  <c r="V392" i="7"/>
  <c r="U392" i="7"/>
  <c r="T392" i="7"/>
  <c r="S392" i="7"/>
  <c r="Q392" i="7"/>
  <c r="D392" i="7"/>
  <c r="R392" i="7" s="1"/>
  <c r="V390" i="7"/>
  <c r="U390" i="7"/>
  <c r="T390" i="7"/>
  <c r="S390" i="7"/>
  <c r="Q390" i="7"/>
  <c r="D390" i="7"/>
  <c r="R390" i="7" s="1"/>
  <c r="T389" i="7"/>
  <c r="S389" i="7"/>
  <c r="R389" i="7"/>
  <c r="U389" i="7" s="1"/>
  <c r="Q389" i="7"/>
  <c r="D389" i="7"/>
  <c r="T388" i="7"/>
  <c r="S388" i="7"/>
  <c r="R388" i="7"/>
  <c r="Q388" i="7"/>
  <c r="D388" i="7"/>
  <c r="T381" i="7"/>
  <c r="S381" i="7"/>
  <c r="R381" i="7"/>
  <c r="Q381" i="7"/>
  <c r="K381" i="7"/>
  <c r="D381" i="7"/>
  <c r="T380" i="7"/>
  <c r="S380" i="7"/>
  <c r="Q380" i="7"/>
  <c r="D380" i="7"/>
  <c r="R380" i="7" s="1"/>
  <c r="T379" i="7"/>
  <c r="S379" i="7"/>
  <c r="R379" i="7"/>
  <c r="Q379" i="7"/>
  <c r="D379" i="7"/>
  <c r="V377" i="7"/>
  <c r="T377" i="7"/>
  <c r="S377" i="7"/>
  <c r="R377" i="7"/>
  <c r="U377" i="7" s="1"/>
  <c r="Q377" i="7"/>
  <c r="D377" i="7"/>
  <c r="T376" i="7"/>
  <c r="S376" i="7"/>
  <c r="Q376" i="7"/>
  <c r="D376" i="7"/>
  <c r="R376" i="7" s="1"/>
  <c r="T375" i="7"/>
  <c r="S375" i="7"/>
  <c r="R375" i="7"/>
  <c r="Q375" i="7"/>
  <c r="D375" i="7"/>
  <c r="T373" i="7"/>
  <c r="S373" i="7"/>
  <c r="Q373" i="7"/>
  <c r="K373" i="7"/>
  <c r="D373" i="7" s="1"/>
  <c r="R373" i="7" s="1"/>
  <c r="E373" i="7"/>
  <c r="Q372" i="7"/>
  <c r="K372" i="7"/>
  <c r="E372" i="7"/>
  <c r="T371" i="7"/>
  <c r="S371" i="7"/>
  <c r="R371" i="7"/>
  <c r="Q371" i="7"/>
  <c r="K371" i="7"/>
  <c r="E371" i="7"/>
  <c r="D371" i="7"/>
  <c r="AC364" i="7"/>
  <c r="R360" i="7" s="1"/>
  <c r="T364" i="7"/>
  <c r="Q364" i="7"/>
  <c r="D364" i="7"/>
  <c r="V363" i="7"/>
  <c r="R363" i="7"/>
  <c r="Q363" i="7"/>
  <c r="D363" i="7"/>
  <c r="T362" i="7"/>
  <c r="S362" i="7"/>
  <c r="Q362" i="7"/>
  <c r="D362" i="7"/>
  <c r="AC360" i="7"/>
  <c r="T363" i="7" s="1"/>
  <c r="T360" i="7"/>
  <c r="Q360" i="7"/>
  <c r="D360" i="7"/>
  <c r="T359" i="7"/>
  <c r="V359" i="7" s="1"/>
  <c r="S359" i="7"/>
  <c r="U359" i="7" s="1"/>
  <c r="R359" i="7"/>
  <c r="Q359" i="7"/>
  <c r="D359" i="7"/>
  <c r="T358" i="7"/>
  <c r="S358" i="7"/>
  <c r="Q358" i="7"/>
  <c r="D358" i="7"/>
  <c r="AC356" i="7"/>
  <c r="Q356" i="7"/>
  <c r="D356" i="7"/>
  <c r="V355" i="7"/>
  <c r="U355" i="7"/>
  <c r="T355" i="7"/>
  <c r="S355" i="7"/>
  <c r="Q355" i="7"/>
  <c r="D355" i="7"/>
  <c r="R355" i="7" s="1"/>
  <c r="R354" i="7"/>
  <c r="Q354" i="7"/>
  <c r="D354" i="7"/>
  <c r="T348" i="7"/>
  <c r="S348" i="7"/>
  <c r="R348" i="7"/>
  <c r="Q348" i="7"/>
  <c r="D348" i="7"/>
  <c r="T347" i="7"/>
  <c r="S347" i="7"/>
  <c r="R347" i="7"/>
  <c r="Q347" i="7"/>
  <c r="D347" i="7"/>
  <c r="T346" i="7"/>
  <c r="S346" i="7"/>
  <c r="R346" i="7"/>
  <c r="Q346" i="7"/>
  <c r="D346" i="7"/>
  <c r="T344" i="7"/>
  <c r="S344" i="7"/>
  <c r="R344" i="7"/>
  <c r="Q344" i="7"/>
  <c r="D344" i="7"/>
  <c r="T343" i="7"/>
  <c r="V343" i="7" s="1"/>
  <c r="S343" i="7"/>
  <c r="U343" i="7" s="1"/>
  <c r="Q343" i="7"/>
  <c r="D343" i="7"/>
  <c r="R343" i="7" s="1"/>
  <c r="T342" i="7"/>
  <c r="S342" i="7"/>
  <c r="U342" i="7" s="1"/>
  <c r="Q342" i="7"/>
  <c r="D342" i="7"/>
  <c r="R342" i="7" s="1"/>
  <c r="V340" i="7"/>
  <c r="U340" i="7"/>
  <c r="T340" i="7"/>
  <c r="S340" i="7"/>
  <c r="Q340" i="7"/>
  <c r="D340" i="7"/>
  <c r="R340" i="7" s="1"/>
  <c r="T339" i="7"/>
  <c r="S339" i="7"/>
  <c r="R339" i="7"/>
  <c r="Q339" i="7"/>
  <c r="D339" i="7"/>
  <c r="T338" i="7"/>
  <c r="S338" i="7"/>
  <c r="R338" i="7"/>
  <c r="Q338" i="7"/>
  <c r="D338" i="7"/>
  <c r="T329" i="7"/>
  <c r="S329" i="7"/>
  <c r="R329" i="7"/>
  <c r="Q329" i="7"/>
  <c r="D329" i="7"/>
  <c r="T328" i="7"/>
  <c r="S328" i="7"/>
  <c r="R328" i="7"/>
  <c r="Q328" i="7"/>
  <c r="D328" i="7"/>
  <c r="T327" i="7"/>
  <c r="S327" i="7"/>
  <c r="R327" i="7"/>
  <c r="Q327" i="7"/>
  <c r="D327" i="7"/>
  <c r="U325" i="7"/>
  <c r="T325" i="7"/>
  <c r="V325" i="7" s="1"/>
  <c r="S325" i="7"/>
  <c r="Q325" i="7"/>
  <c r="D325" i="7"/>
  <c r="R325" i="7" s="1"/>
  <c r="T324" i="7"/>
  <c r="V324" i="7" s="1"/>
  <c r="S324" i="7"/>
  <c r="Q324" i="7"/>
  <c r="D324" i="7"/>
  <c r="R324" i="7" s="1"/>
  <c r="T323" i="7"/>
  <c r="S323" i="7"/>
  <c r="R323" i="7"/>
  <c r="Q323" i="7"/>
  <c r="D323" i="7"/>
  <c r="T321" i="7"/>
  <c r="S321" i="7"/>
  <c r="Q321" i="7"/>
  <c r="D321" i="7"/>
  <c r="R321" i="7" s="1"/>
  <c r="V321" i="7" s="1"/>
  <c r="V320" i="7"/>
  <c r="T320" i="7"/>
  <c r="S320" i="7"/>
  <c r="Q320" i="7"/>
  <c r="D320" i="7"/>
  <c r="R320" i="7" s="1"/>
  <c r="T319" i="7"/>
  <c r="S319" i="7"/>
  <c r="R319" i="7"/>
  <c r="Q319" i="7"/>
  <c r="D319" i="7"/>
  <c r="T312" i="7"/>
  <c r="S312" i="7"/>
  <c r="R312" i="7"/>
  <c r="Q312" i="7"/>
  <c r="D312" i="7"/>
  <c r="T311" i="7"/>
  <c r="S311" i="7"/>
  <c r="R311" i="7"/>
  <c r="Q311" i="7"/>
  <c r="D311" i="7"/>
  <c r="T310" i="7"/>
  <c r="S310" i="7"/>
  <c r="R310" i="7"/>
  <c r="Q310" i="7"/>
  <c r="D310" i="7"/>
  <c r="T308" i="7"/>
  <c r="V308" i="7" s="1"/>
  <c r="S308" i="7"/>
  <c r="U308" i="7" s="1"/>
  <c r="Q308" i="7"/>
  <c r="D308" i="7"/>
  <c r="R308" i="7" s="1"/>
  <c r="U307" i="7"/>
  <c r="T307" i="7"/>
  <c r="V307" i="7" s="1"/>
  <c r="S307" i="7"/>
  <c r="Q307" i="7"/>
  <c r="D307" i="7"/>
  <c r="R307" i="7" s="1"/>
  <c r="U306" i="7"/>
  <c r="T306" i="7"/>
  <c r="S306" i="7"/>
  <c r="Q306" i="7"/>
  <c r="D306" i="7"/>
  <c r="R306" i="7" s="1"/>
  <c r="V306" i="7" s="1"/>
  <c r="V304" i="7"/>
  <c r="U304" i="7"/>
  <c r="T304" i="7"/>
  <c r="S304" i="7"/>
  <c r="Q304" i="7"/>
  <c r="D304" i="7"/>
  <c r="R304" i="7" s="1"/>
  <c r="T303" i="7"/>
  <c r="V303" i="7" s="1"/>
  <c r="S303" i="7"/>
  <c r="Q303" i="7"/>
  <c r="D303" i="7"/>
  <c r="R303" i="7" s="1"/>
  <c r="U303" i="7" s="1"/>
  <c r="T302" i="7"/>
  <c r="V302" i="7" s="1"/>
  <c r="S302" i="7"/>
  <c r="R302" i="7"/>
  <c r="U302" i="7" s="1"/>
  <c r="Q302" i="7"/>
  <c r="D302" i="7"/>
  <c r="V295" i="7"/>
  <c r="U295" i="7"/>
  <c r="T295" i="7"/>
  <c r="S295" i="7"/>
  <c r="R295" i="7"/>
  <c r="Q295" i="7"/>
  <c r="D295" i="7"/>
  <c r="V294" i="7"/>
  <c r="T294" i="7"/>
  <c r="S294" i="7"/>
  <c r="Q294" i="7"/>
  <c r="D294" i="7"/>
  <c r="R294" i="7" s="1"/>
  <c r="U294" i="7" s="1"/>
  <c r="T293" i="7"/>
  <c r="S293" i="7"/>
  <c r="R293" i="7"/>
  <c r="U293" i="7" s="1"/>
  <c r="Q293" i="7"/>
  <c r="D293" i="7"/>
  <c r="T291" i="7"/>
  <c r="S291" i="7"/>
  <c r="R291" i="7"/>
  <c r="Q291" i="7"/>
  <c r="D291" i="7"/>
  <c r="T290" i="7"/>
  <c r="S290" i="7"/>
  <c r="R290" i="7"/>
  <c r="Q290" i="7"/>
  <c r="D290" i="7"/>
  <c r="T289" i="7"/>
  <c r="S289" i="7"/>
  <c r="R289" i="7"/>
  <c r="Q289" i="7"/>
  <c r="D289" i="7"/>
  <c r="U287" i="7"/>
  <c r="T287" i="7"/>
  <c r="S287" i="7"/>
  <c r="Q287" i="7"/>
  <c r="D287" i="7"/>
  <c r="R287" i="7" s="1"/>
  <c r="V287" i="7" s="1"/>
  <c r="V286" i="7"/>
  <c r="U286" i="7"/>
  <c r="T286" i="7"/>
  <c r="S286" i="7"/>
  <c r="Q286" i="7"/>
  <c r="D286" i="7"/>
  <c r="R286" i="7" s="1"/>
  <c r="U285" i="7"/>
  <c r="T285" i="7"/>
  <c r="S285" i="7"/>
  <c r="Q285" i="7"/>
  <c r="D285" i="7"/>
  <c r="R285" i="7" s="1"/>
  <c r="V278" i="7"/>
  <c r="U278" i="7"/>
  <c r="Q278" i="7"/>
  <c r="D278" i="7"/>
  <c r="R278" i="7" s="1"/>
  <c r="V277" i="7"/>
  <c r="Q277" i="7"/>
  <c r="D277" i="7"/>
  <c r="R277" i="7" s="1"/>
  <c r="U277" i="7" s="1"/>
  <c r="V276" i="7"/>
  <c r="U276" i="7"/>
  <c r="R276" i="7"/>
  <c r="Q276" i="7"/>
  <c r="D276" i="7"/>
  <c r="R274" i="7"/>
  <c r="Q274" i="7"/>
  <c r="D274" i="7"/>
  <c r="V273" i="7"/>
  <c r="U273" i="7"/>
  <c r="Q273" i="7"/>
  <c r="D273" i="7"/>
  <c r="R273" i="7" s="1"/>
  <c r="R272" i="7"/>
  <c r="Q272" i="7"/>
  <c r="D272" i="7"/>
  <c r="R270" i="7"/>
  <c r="Q270" i="7"/>
  <c r="D270" i="7"/>
  <c r="V269" i="7"/>
  <c r="R269" i="7"/>
  <c r="Q269" i="7"/>
  <c r="D269" i="7"/>
  <c r="U268" i="7"/>
  <c r="Q268" i="7"/>
  <c r="D268" i="7"/>
  <c r="R268" i="7" s="1"/>
  <c r="V261" i="7"/>
  <c r="U261" i="7"/>
  <c r="Q261" i="7"/>
  <c r="D261" i="7"/>
  <c r="R261" i="7" s="1"/>
  <c r="U260" i="7"/>
  <c r="V260" i="7"/>
  <c r="Q260" i="7"/>
  <c r="D260" i="7"/>
  <c r="R260" i="7" s="1"/>
  <c r="Q259" i="7"/>
  <c r="D259" i="7"/>
  <c r="R259" i="7" s="1"/>
  <c r="R257" i="7"/>
  <c r="Q257" i="7"/>
  <c r="D257" i="7"/>
  <c r="R256" i="7"/>
  <c r="Q256" i="7"/>
  <c r="D256" i="7"/>
  <c r="R255" i="7"/>
  <c r="V255" i="7" s="1"/>
  <c r="Q255" i="7"/>
  <c r="D255" i="7"/>
  <c r="R253" i="7"/>
  <c r="Q253" i="7"/>
  <c r="D253" i="7"/>
  <c r="V252" i="7"/>
  <c r="U252" i="7"/>
  <c r="Q252" i="7"/>
  <c r="D252" i="7"/>
  <c r="R252" i="7" s="1"/>
  <c r="V251" i="7"/>
  <c r="U251" i="7"/>
  <c r="Q251" i="7"/>
  <c r="D251" i="7"/>
  <c r="R251" i="7" s="1"/>
  <c r="S244" i="7"/>
  <c r="Q244" i="7"/>
  <c r="D244" i="7"/>
  <c r="R244" i="7" s="1"/>
  <c r="V244" i="7" s="1"/>
  <c r="S243" i="7"/>
  <c r="Q243" i="7"/>
  <c r="D243" i="7"/>
  <c r="R243" i="7" s="1"/>
  <c r="V243" i="7" s="1"/>
  <c r="V242" i="7"/>
  <c r="S242" i="7"/>
  <c r="Q242" i="7"/>
  <c r="D242" i="7"/>
  <c r="R242" i="7" s="1"/>
  <c r="U242" i="7" s="1"/>
  <c r="V240" i="7"/>
  <c r="U240" i="7"/>
  <c r="S240" i="7"/>
  <c r="Q240" i="7"/>
  <c r="D240" i="7"/>
  <c r="R240" i="7" s="1"/>
  <c r="V239" i="7"/>
  <c r="U239" i="7"/>
  <c r="S239" i="7"/>
  <c r="Q239" i="7"/>
  <c r="I239" i="7"/>
  <c r="D239" i="7"/>
  <c r="R239" i="7" s="1"/>
  <c r="V238" i="7"/>
  <c r="U238" i="7"/>
  <c r="S238" i="7"/>
  <c r="Q238" i="7"/>
  <c r="I238" i="7"/>
  <c r="D238" i="7"/>
  <c r="R238" i="7" s="1"/>
  <c r="U236" i="7"/>
  <c r="S236" i="7"/>
  <c r="Q236" i="7"/>
  <c r="D236" i="7"/>
  <c r="R236" i="7" s="1"/>
  <c r="V236" i="7" s="1"/>
  <c r="S235" i="7"/>
  <c r="Q235" i="7"/>
  <c r="D235" i="7"/>
  <c r="R235" i="7" s="1"/>
  <c r="V235" i="7" s="1"/>
  <c r="S234" i="7"/>
  <c r="R234" i="7"/>
  <c r="V234" i="7" s="1"/>
  <c r="Q234" i="7"/>
  <c r="D234" i="7"/>
  <c r="V226" i="7"/>
  <c r="U226" i="7"/>
  <c r="R226" i="7"/>
  <c r="Q226" i="7"/>
  <c r="D226" i="7"/>
  <c r="Q225" i="7"/>
  <c r="J225" i="7"/>
  <c r="D225" i="7" s="1"/>
  <c r="R225" i="7" s="1"/>
  <c r="E225" i="7"/>
  <c r="R224" i="7"/>
  <c r="Q224" i="7"/>
  <c r="J224" i="7"/>
  <c r="E224" i="7"/>
  <c r="D224" i="7"/>
  <c r="U222" i="7"/>
  <c r="V222" i="7"/>
  <c r="Q222" i="7"/>
  <c r="D222" i="7"/>
  <c r="R222" i="7" s="1"/>
  <c r="Q221" i="7"/>
  <c r="D221" i="7"/>
  <c r="R221" i="7" s="1"/>
  <c r="Q220" i="7"/>
  <c r="D220" i="7"/>
  <c r="R220" i="7" s="1"/>
  <c r="T218" i="7"/>
  <c r="S218" i="7"/>
  <c r="Q218" i="7"/>
  <c r="D218" i="7"/>
  <c r="R218" i="7" s="1"/>
  <c r="S217" i="7"/>
  <c r="R217" i="7"/>
  <c r="Q217" i="7"/>
  <c r="J217" i="7"/>
  <c r="H217" i="7"/>
  <c r="T217" i="7" s="1"/>
  <c r="D217" i="7"/>
  <c r="Z216" i="7"/>
  <c r="T216" i="7" s="1"/>
  <c r="Y216" i="7"/>
  <c r="S216" i="7" s="1"/>
  <c r="V216" i="7"/>
  <c r="Q216" i="7"/>
  <c r="D216" i="7"/>
  <c r="R216" i="7" s="1"/>
  <c r="U216" i="7" s="1"/>
  <c r="T210" i="7"/>
  <c r="V210" i="7" s="1"/>
  <c r="S210" i="7"/>
  <c r="Q210" i="7"/>
  <c r="D210" i="7"/>
  <c r="R210" i="7" s="1"/>
  <c r="U210" i="7" s="1"/>
  <c r="U209" i="7"/>
  <c r="T209" i="7"/>
  <c r="S209" i="7"/>
  <c r="Q209" i="7"/>
  <c r="D209" i="7"/>
  <c r="R209" i="7" s="1"/>
  <c r="T208" i="7"/>
  <c r="S208" i="7"/>
  <c r="Q208" i="7"/>
  <c r="D208" i="7"/>
  <c r="R208" i="7" s="1"/>
  <c r="V208" i="7" s="1"/>
  <c r="T206" i="7"/>
  <c r="S206" i="7"/>
  <c r="R206" i="7"/>
  <c r="V206" i="7" s="1"/>
  <c r="Q206" i="7"/>
  <c r="D206" i="7"/>
  <c r="T205" i="7"/>
  <c r="S205" i="7"/>
  <c r="R205" i="7"/>
  <c r="U205" i="7" s="1"/>
  <c r="Q205" i="7"/>
  <c r="D205" i="7"/>
  <c r="T204" i="7"/>
  <c r="S204" i="7"/>
  <c r="R204" i="7"/>
  <c r="Q204" i="7"/>
  <c r="D204" i="7"/>
  <c r="T202" i="7"/>
  <c r="S202" i="7"/>
  <c r="R202" i="7"/>
  <c r="Q202" i="7"/>
  <c r="D202" i="7"/>
  <c r="U201" i="7"/>
  <c r="T201" i="7"/>
  <c r="S201" i="7"/>
  <c r="R201" i="7"/>
  <c r="V201" i="7" s="1"/>
  <c r="Q201" i="7"/>
  <c r="D201" i="7"/>
  <c r="T200" i="7"/>
  <c r="S200" i="7"/>
  <c r="Q200" i="7"/>
  <c r="D200" i="7"/>
  <c r="R200" i="7" s="1"/>
  <c r="U200" i="7" s="1"/>
  <c r="U191" i="7"/>
  <c r="Q191" i="7"/>
  <c r="D191" i="7"/>
  <c r="R191" i="7" s="1"/>
  <c r="V190" i="7"/>
  <c r="U190" i="7"/>
  <c r="R190" i="7"/>
  <c r="Q190" i="7"/>
  <c r="D190" i="7"/>
  <c r="V189" i="7"/>
  <c r="Q189" i="7"/>
  <c r="D189" i="7"/>
  <c r="R189" i="7" s="1"/>
  <c r="Q187" i="7"/>
  <c r="D187" i="7"/>
  <c r="R187" i="7" s="1"/>
  <c r="U187" i="7" s="1"/>
  <c r="U186" i="7"/>
  <c r="Q186" i="7"/>
  <c r="H186" i="7"/>
  <c r="D186" i="7"/>
  <c r="R186" i="7" s="1"/>
  <c r="Q185" i="7"/>
  <c r="H185" i="7"/>
  <c r="D185" i="7"/>
  <c r="R185" i="7" s="1"/>
  <c r="R183" i="7"/>
  <c r="Q183" i="7"/>
  <c r="D183" i="7"/>
  <c r="Q182" i="7"/>
  <c r="D182" i="7"/>
  <c r="R182" i="7" s="1"/>
  <c r="R181" i="7"/>
  <c r="Q181" i="7"/>
  <c r="D181" i="7"/>
  <c r="T173" i="7"/>
  <c r="S173" i="7"/>
  <c r="R173" i="7"/>
  <c r="V173" i="7" s="1"/>
  <c r="Q173" i="7"/>
  <c r="D173" i="7"/>
  <c r="T172" i="7"/>
  <c r="V172" i="7" s="1"/>
  <c r="S172" i="7"/>
  <c r="U172" i="7" s="1"/>
  <c r="Q172" i="7"/>
  <c r="D172" i="7"/>
  <c r="R172" i="7" s="1"/>
  <c r="T171" i="7"/>
  <c r="V171" i="7" s="1"/>
  <c r="S171" i="7"/>
  <c r="U171" i="7" s="1"/>
  <c r="Q171" i="7"/>
  <c r="D171" i="7"/>
  <c r="R171" i="7" s="1"/>
  <c r="V169" i="7"/>
  <c r="U169" i="7"/>
  <c r="T169" i="7"/>
  <c r="S169" i="7"/>
  <c r="Q169" i="7"/>
  <c r="D169" i="7"/>
  <c r="R169" i="7" s="1"/>
  <c r="T168" i="7"/>
  <c r="S168" i="7"/>
  <c r="Q168" i="7"/>
  <c r="D168" i="7"/>
  <c r="R168" i="7" s="1"/>
  <c r="T167" i="7"/>
  <c r="S167" i="7"/>
  <c r="Q167" i="7"/>
  <c r="D167" i="7"/>
  <c r="R167" i="7" s="1"/>
  <c r="T165" i="7"/>
  <c r="S165" i="7"/>
  <c r="Q165" i="7"/>
  <c r="D165" i="7"/>
  <c r="R165" i="7" s="1"/>
  <c r="T164" i="7"/>
  <c r="S164" i="7"/>
  <c r="R164" i="7"/>
  <c r="Q164" i="7"/>
  <c r="I164" i="7"/>
  <c r="D164" i="7" s="1"/>
  <c r="T163" i="7"/>
  <c r="V163" i="7" s="1"/>
  <c r="S163" i="7"/>
  <c r="U163" i="7" s="1"/>
  <c r="Q163" i="7"/>
  <c r="D163" i="7"/>
  <c r="R163" i="7" s="1"/>
  <c r="T155" i="7"/>
  <c r="S155" i="7"/>
  <c r="R155" i="7"/>
  <c r="V155" i="7" s="1"/>
  <c r="Q155" i="7"/>
  <c r="D155" i="7"/>
  <c r="T154" i="7"/>
  <c r="S154" i="7"/>
  <c r="U154" i="7" s="1"/>
  <c r="Q154" i="7"/>
  <c r="D154" i="7"/>
  <c r="R154" i="7" s="1"/>
  <c r="V154" i="7" s="1"/>
  <c r="U153" i="7"/>
  <c r="T153" i="7"/>
  <c r="V153" i="7" s="1"/>
  <c r="S153" i="7"/>
  <c r="Q153" i="7"/>
  <c r="D153" i="7"/>
  <c r="R153" i="7" s="1"/>
  <c r="T151" i="7"/>
  <c r="S151" i="7"/>
  <c r="Q151" i="7"/>
  <c r="D151" i="7"/>
  <c r="R151" i="7" s="1"/>
  <c r="V151" i="7" s="1"/>
  <c r="T150" i="7"/>
  <c r="S150" i="7"/>
  <c r="R150" i="7"/>
  <c r="V150" i="7" s="1"/>
  <c r="Q150" i="7"/>
  <c r="D150" i="7"/>
  <c r="T149" i="7"/>
  <c r="S149" i="7"/>
  <c r="R149" i="7"/>
  <c r="U149" i="7" s="1"/>
  <c r="Q149" i="7"/>
  <c r="D149" i="7"/>
  <c r="T147" i="7"/>
  <c r="S147" i="7"/>
  <c r="R147" i="7"/>
  <c r="Q147" i="7"/>
  <c r="D147" i="7"/>
  <c r="T146" i="7"/>
  <c r="S146" i="7"/>
  <c r="R146" i="7"/>
  <c r="V146" i="7" s="1"/>
  <c r="Q146" i="7"/>
  <c r="D146" i="7"/>
  <c r="T145" i="7"/>
  <c r="S145" i="7"/>
  <c r="R145" i="7"/>
  <c r="U145" i="7" s="1"/>
  <c r="Q145" i="7"/>
  <c r="D145" i="7"/>
  <c r="T138" i="7"/>
  <c r="V138" i="7" s="1"/>
  <c r="S138" i="7"/>
  <c r="U138" i="7" s="1"/>
  <c r="R138" i="7"/>
  <c r="Q138" i="7"/>
  <c r="D138" i="7"/>
  <c r="U137" i="7"/>
  <c r="T137" i="7"/>
  <c r="V137" i="7" s="1"/>
  <c r="S137" i="7"/>
  <c r="Q137" i="7"/>
  <c r="D137" i="7"/>
  <c r="R137" i="7" s="1"/>
  <c r="Q136" i="7"/>
  <c r="T134" i="7"/>
  <c r="S134" i="7"/>
  <c r="R134" i="7"/>
  <c r="U134" i="7" s="1"/>
  <c r="Q134" i="7"/>
  <c r="D134" i="7"/>
  <c r="T133" i="7"/>
  <c r="S133" i="7"/>
  <c r="R133" i="7"/>
  <c r="Q133" i="7"/>
  <c r="D133" i="7"/>
  <c r="Q132" i="7"/>
  <c r="T130" i="7"/>
  <c r="S130" i="7"/>
  <c r="R130" i="7"/>
  <c r="V130" i="7" s="1"/>
  <c r="Q130" i="7"/>
  <c r="D130" i="7"/>
  <c r="T129" i="7"/>
  <c r="V129" i="7" s="1"/>
  <c r="S129" i="7"/>
  <c r="U129" i="7" s="1"/>
  <c r="Q129" i="7"/>
  <c r="D129" i="7"/>
  <c r="R129" i="7" s="1"/>
  <c r="Q128" i="7"/>
  <c r="T121" i="7"/>
  <c r="S121" i="7"/>
  <c r="Q121" i="7"/>
  <c r="D121" i="7"/>
  <c r="R121" i="7" s="1"/>
  <c r="T120" i="7"/>
  <c r="S120" i="7"/>
  <c r="Q120" i="7"/>
  <c r="D120" i="7"/>
  <c r="R120" i="7" s="1"/>
  <c r="T119" i="7"/>
  <c r="S119" i="7"/>
  <c r="R119" i="7"/>
  <c r="Q119" i="7"/>
  <c r="D119" i="7"/>
  <c r="T117" i="7"/>
  <c r="S117" i="7"/>
  <c r="R117" i="7"/>
  <c r="Q117" i="7"/>
  <c r="D117" i="7"/>
  <c r="T116" i="7"/>
  <c r="S116" i="7"/>
  <c r="R116" i="7"/>
  <c r="V116" i="7" s="1"/>
  <c r="Q116" i="7"/>
  <c r="D116" i="7"/>
  <c r="T115" i="7"/>
  <c r="V115" i="7" s="1"/>
  <c r="S115" i="7"/>
  <c r="U115" i="7" s="1"/>
  <c r="Q115" i="7"/>
  <c r="D115" i="7"/>
  <c r="R115" i="7" s="1"/>
  <c r="U113" i="7"/>
  <c r="T113" i="7"/>
  <c r="V113" i="7" s="1"/>
  <c r="S113" i="7"/>
  <c r="Q113" i="7"/>
  <c r="D113" i="7"/>
  <c r="R113" i="7" s="1"/>
  <c r="T112" i="7"/>
  <c r="S112" i="7"/>
  <c r="Q112" i="7"/>
  <c r="D112" i="7"/>
  <c r="R112" i="7" s="1"/>
  <c r="T111" i="7"/>
  <c r="S111" i="7"/>
  <c r="Q111" i="7"/>
  <c r="D111" i="7"/>
  <c r="R111" i="7" s="1"/>
  <c r="V104" i="7"/>
  <c r="T104" i="7"/>
  <c r="Q104" i="7"/>
  <c r="D104" i="7"/>
  <c r="R104" i="7" s="1"/>
  <c r="T103" i="7"/>
  <c r="Q103" i="7"/>
  <c r="D103" i="7"/>
  <c r="R103" i="7" s="1"/>
  <c r="V103" i="7" s="1"/>
  <c r="V102" i="7"/>
  <c r="T102" i="7"/>
  <c r="R102" i="7"/>
  <c r="Q102" i="7"/>
  <c r="D102" i="7"/>
  <c r="T100" i="7"/>
  <c r="V100" i="7" s="1"/>
  <c r="R100" i="7"/>
  <c r="Q100" i="7"/>
  <c r="D100" i="7"/>
  <c r="T99" i="7"/>
  <c r="R99" i="7"/>
  <c r="V99" i="7" s="1"/>
  <c r="Q99" i="7"/>
  <c r="D99" i="7"/>
  <c r="T98" i="7"/>
  <c r="Q98" i="7"/>
  <c r="D98" i="7"/>
  <c r="R98" i="7" s="1"/>
  <c r="V98" i="7" s="1"/>
  <c r="T96" i="7"/>
  <c r="Q96" i="7"/>
  <c r="D96" i="7"/>
  <c r="R96" i="7" s="1"/>
  <c r="T95" i="7"/>
  <c r="R95" i="7"/>
  <c r="V95" i="7" s="1"/>
  <c r="Q95" i="7"/>
  <c r="D95" i="7"/>
  <c r="T94" i="7"/>
  <c r="Q94" i="7"/>
  <c r="D94" i="7"/>
  <c r="R94" i="7" s="1"/>
  <c r="V94" i="7" s="1"/>
  <c r="T87" i="7"/>
  <c r="S87" i="7"/>
  <c r="R87" i="7"/>
  <c r="Q87" i="7"/>
  <c r="D87" i="7"/>
  <c r="U86" i="7"/>
  <c r="T86" i="7"/>
  <c r="S86" i="7"/>
  <c r="R86" i="7"/>
  <c r="V86" i="7" s="1"/>
  <c r="Q86" i="7"/>
  <c r="D86" i="7"/>
  <c r="V85" i="7"/>
  <c r="U85" i="7"/>
  <c r="T85" i="7"/>
  <c r="S85" i="7"/>
  <c r="Q85" i="7"/>
  <c r="D85" i="7"/>
  <c r="R85" i="7" s="1"/>
  <c r="T83" i="7"/>
  <c r="Q83" i="7"/>
  <c r="G83" i="7"/>
  <c r="E83" i="7"/>
  <c r="S83" i="7" s="1"/>
  <c r="D83" i="7"/>
  <c r="R83" i="7" s="1"/>
  <c r="V83" i="7" s="1"/>
  <c r="Q82" i="7"/>
  <c r="E82" i="7"/>
  <c r="D82" i="7"/>
  <c r="R82" i="7" s="1"/>
  <c r="T81" i="7"/>
  <c r="S81" i="7"/>
  <c r="R81" i="7"/>
  <c r="Q81" i="7"/>
  <c r="D81" i="7"/>
  <c r="T79" i="7"/>
  <c r="S79" i="7"/>
  <c r="R79" i="7"/>
  <c r="Q79" i="7"/>
  <c r="D79" i="7"/>
  <c r="T78" i="7"/>
  <c r="S78" i="7"/>
  <c r="R78" i="7"/>
  <c r="V78" i="7" s="1"/>
  <c r="Q78" i="7"/>
  <c r="D78" i="7"/>
  <c r="T77" i="7"/>
  <c r="V77" i="7" s="1"/>
  <c r="S77" i="7"/>
  <c r="U77" i="7" s="1"/>
  <c r="Q77" i="7"/>
  <c r="D77" i="7"/>
  <c r="R77" i="7" s="1"/>
  <c r="U70" i="7"/>
  <c r="T70" i="7"/>
  <c r="V70" i="7" s="1"/>
  <c r="S70" i="7"/>
  <c r="Q70" i="7"/>
  <c r="D70" i="7"/>
  <c r="R70" i="7" s="1"/>
  <c r="T69" i="7"/>
  <c r="S69" i="7"/>
  <c r="Q69" i="7"/>
  <c r="D69" i="7"/>
  <c r="R69" i="7" s="1"/>
  <c r="T68" i="7"/>
  <c r="S68" i="7"/>
  <c r="Q68" i="7"/>
  <c r="D68" i="7"/>
  <c r="R68" i="7" s="1"/>
  <c r="V66" i="7"/>
  <c r="T66" i="7"/>
  <c r="S66" i="7"/>
  <c r="R66" i="7"/>
  <c r="Q66" i="7"/>
  <c r="I66" i="7"/>
  <c r="D66" i="7"/>
  <c r="T65" i="7"/>
  <c r="S65" i="7"/>
  <c r="Q65" i="7"/>
  <c r="J65" i="7"/>
  <c r="I65" i="7"/>
  <c r="D65" i="7"/>
  <c r="R65" i="7" s="1"/>
  <c r="T64" i="7"/>
  <c r="S64" i="7"/>
  <c r="Q64" i="7"/>
  <c r="J64" i="7"/>
  <c r="I64" i="7"/>
  <c r="D64" i="7" s="1"/>
  <c r="R64" i="7" s="1"/>
  <c r="T62" i="7"/>
  <c r="S62" i="7"/>
  <c r="R62" i="7"/>
  <c r="Q62" i="7"/>
  <c r="D62" i="7"/>
  <c r="T61" i="7"/>
  <c r="S61" i="7"/>
  <c r="R61" i="7"/>
  <c r="V61" i="7" s="1"/>
  <c r="Q61" i="7"/>
  <c r="D61" i="7"/>
  <c r="T60" i="7"/>
  <c r="S60" i="7"/>
  <c r="Q60" i="7"/>
  <c r="D60" i="7"/>
  <c r="R60" i="7" s="1"/>
  <c r="V60" i="7" s="1"/>
  <c r="T53" i="7"/>
  <c r="S53" i="7"/>
  <c r="Q53" i="7"/>
  <c r="D53" i="7"/>
  <c r="R53" i="7" s="1"/>
  <c r="V53" i="7" s="1"/>
  <c r="T52" i="7"/>
  <c r="S52" i="7"/>
  <c r="R52" i="7"/>
  <c r="V52" i="7" s="1"/>
  <c r="Q52" i="7"/>
  <c r="D52" i="7"/>
  <c r="T51" i="7"/>
  <c r="S51" i="7"/>
  <c r="R51" i="7"/>
  <c r="U51" i="7" s="1"/>
  <c r="Q51" i="7"/>
  <c r="D51" i="7"/>
  <c r="T49" i="7"/>
  <c r="S49" i="7"/>
  <c r="R49" i="7"/>
  <c r="Q49" i="7"/>
  <c r="D49" i="7"/>
  <c r="T48" i="7"/>
  <c r="S48" i="7"/>
  <c r="R48" i="7"/>
  <c r="V48" i="7" s="1"/>
  <c r="Q48" i="7"/>
  <c r="D48" i="7"/>
  <c r="T47" i="7"/>
  <c r="S47" i="7"/>
  <c r="Q47" i="7"/>
  <c r="D47" i="7"/>
  <c r="R47" i="7" s="1"/>
  <c r="V47" i="7" s="1"/>
  <c r="T45" i="7"/>
  <c r="S45" i="7"/>
  <c r="Q45" i="7"/>
  <c r="D45" i="7"/>
  <c r="R45" i="7" s="1"/>
  <c r="V45" i="7" s="1"/>
  <c r="T44" i="7"/>
  <c r="S44" i="7"/>
  <c r="R44" i="7"/>
  <c r="V44" i="7" s="1"/>
  <c r="Q44" i="7"/>
  <c r="D44" i="7"/>
  <c r="T43" i="7"/>
  <c r="S43" i="7"/>
  <c r="R43" i="7"/>
  <c r="U43" i="7" s="1"/>
  <c r="Q43" i="7"/>
  <c r="D43" i="7"/>
  <c r="T36" i="7"/>
  <c r="S36" i="7"/>
  <c r="R36" i="7"/>
  <c r="Q36" i="7"/>
  <c r="G36" i="7"/>
  <c r="F36" i="7"/>
  <c r="E36" i="7"/>
  <c r="D36" i="7"/>
  <c r="Q35" i="7"/>
  <c r="G35" i="7"/>
  <c r="F35" i="7"/>
  <c r="E35" i="7"/>
  <c r="Q34" i="7"/>
  <c r="G34" i="7"/>
  <c r="F34" i="7"/>
  <c r="S34" i="7" s="1"/>
  <c r="E34" i="7"/>
  <c r="D34" i="7" s="1"/>
  <c r="R34" i="7" s="1"/>
  <c r="T32" i="7"/>
  <c r="S32" i="7"/>
  <c r="R32" i="7"/>
  <c r="Q32" i="7"/>
  <c r="G32" i="7"/>
  <c r="F32" i="7"/>
  <c r="E32" i="7"/>
  <c r="D32" i="7"/>
  <c r="Q31" i="7"/>
  <c r="G31" i="7"/>
  <c r="F31" i="7"/>
  <c r="E31" i="7"/>
  <c r="T31" i="7" s="1"/>
  <c r="Q30" i="7"/>
  <c r="G30" i="7"/>
  <c r="F30" i="7"/>
  <c r="S30" i="7" s="1"/>
  <c r="E30" i="7"/>
  <c r="D30" i="7" s="1"/>
  <c r="R30" i="7" s="1"/>
  <c r="T28" i="7"/>
  <c r="S28" i="7"/>
  <c r="R28" i="7"/>
  <c r="Q28" i="7"/>
  <c r="G28" i="7"/>
  <c r="F28" i="7"/>
  <c r="E28" i="7"/>
  <c r="D28" i="7"/>
  <c r="AD27" i="7"/>
  <c r="AC27" i="7"/>
  <c r="Q27" i="7"/>
  <c r="E27" i="7"/>
  <c r="AD26" i="7"/>
  <c r="E26" i="7" s="1"/>
  <c r="AC26" i="7"/>
  <c r="Q26" i="7"/>
  <c r="T19" i="7"/>
  <c r="S19" i="7"/>
  <c r="R19" i="7"/>
  <c r="V19" i="7" s="1"/>
  <c r="Q19" i="7"/>
  <c r="D19" i="7"/>
  <c r="T18" i="7"/>
  <c r="S18" i="7"/>
  <c r="R18" i="7"/>
  <c r="U18" i="7" s="1"/>
  <c r="Q18" i="7"/>
  <c r="D18" i="7"/>
  <c r="T17" i="7"/>
  <c r="S17" i="7"/>
  <c r="R17" i="7"/>
  <c r="Q17" i="7"/>
  <c r="T15" i="7"/>
  <c r="S15" i="7"/>
  <c r="R15" i="7"/>
  <c r="Q15" i="7"/>
  <c r="D15" i="7"/>
  <c r="U14" i="7"/>
  <c r="T14" i="7"/>
  <c r="S14" i="7"/>
  <c r="R14" i="7"/>
  <c r="V14" i="7" s="1"/>
  <c r="Q14" i="7"/>
  <c r="D14" i="7"/>
  <c r="V13" i="7"/>
  <c r="T13" i="7"/>
  <c r="S13" i="7"/>
  <c r="U13" i="7" s="1"/>
  <c r="R13" i="7"/>
  <c r="Q13" i="7"/>
  <c r="T11" i="7"/>
  <c r="S11" i="7"/>
  <c r="Q11" i="7"/>
  <c r="D11" i="7"/>
  <c r="R11" i="7" s="1"/>
  <c r="U11" i="7" s="1"/>
  <c r="V10" i="7"/>
  <c r="T10" i="7"/>
  <c r="S10" i="7"/>
  <c r="Q10" i="7"/>
  <c r="D10" i="7"/>
  <c r="R10" i="7" s="1"/>
  <c r="U10" i="7" s="1"/>
  <c r="V9" i="7"/>
  <c r="T9" i="7"/>
  <c r="S9" i="7"/>
  <c r="R9" i="7"/>
  <c r="U9" i="7" s="1"/>
  <c r="Q9" i="7"/>
  <c r="U269" i="7" l="1"/>
  <c r="U780" i="7"/>
  <c r="U185" i="7"/>
  <c r="V253" i="7"/>
  <c r="V426" i="7"/>
  <c r="U189" i="7"/>
  <c r="U479" i="7"/>
  <c r="U629" i="7"/>
  <c r="V186" i="7"/>
  <c r="V718" i="7"/>
  <c r="W782" i="7"/>
  <c r="U481" i="7"/>
  <c r="V481" i="7"/>
  <c r="T26" i="7"/>
  <c r="U220" i="7"/>
  <c r="V220" i="7"/>
  <c r="U376" i="7"/>
  <c r="V376" i="7"/>
  <c r="U30" i="7"/>
  <c r="U120" i="7"/>
  <c r="V120" i="7"/>
  <c r="V167" i="7"/>
  <c r="U167" i="7"/>
  <c r="U259" i="7"/>
  <c r="V259" i="7"/>
  <c r="V69" i="7"/>
  <c r="U69" i="7"/>
  <c r="V360" i="7"/>
  <c r="V221" i="7"/>
  <c r="U221" i="7"/>
  <c r="U34" i="7"/>
  <c r="U64" i="7"/>
  <c r="V64" i="7"/>
  <c r="U111" i="7"/>
  <c r="V111" i="7"/>
  <c r="U121" i="7"/>
  <c r="V121" i="7"/>
  <c r="U168" i="7"/>
  <c r="V168" i="7"/>
  <c r="U666" i="7"/>
  <c r="V666" i="7"/>
  <c r="U781" i="7"/>
  <c r="V781" i="7"/>
  <c r="V218" i="7"/>
  <c r="U218" i="7"/>
  <c r="V112" i="7"/>
  <c r="U112" i="7"/>
  <c r="U165" i="7"/>
  <c r="V165" i="7"/>
  <c r="U182" i="7"/>
  <c r="V182" i="7"/>
  <c r="V225" i="7"/>
  <c r="U225" i="7"/>
  <c r="V513" i="7"/>
  <c r="U513" i="7"/>
  <c r="U782" i="7"/>
  <c r="V782" i="7"/>
  <c r="V65" i="7"/>
  <c r="U65" i="7"/>
  <c r="U363" i="7"/>
  <c r="U795" i="7"/>
  <c r="V795" i="7"/>
  <c r="U68" i="7"/>
  <c r="V68" i="7"/>
  <c r="U540" i="7"/>
  <c r="V540" i="7"/>
  <c r="U752" i="7"/>
  <c r="V752" i="7"/>
  <c r="D799" i="7"/>
  <c r="R799" i="7" s="1"/>
  <c r="S799" i="7"/>
  <c r="V79" i="7"/>
  <c r="U79" i="7"/>
  <c r="V661" i="7"/>
  <c r="U661" i="7"/>
  <c r="V185" i="7"/>
  <c r="V200" i="7"/>
  <c r="V257" i="7"/>
  <c r="U257" i="7"/>
  <c r="V323" i="7"/>
  <c r="U323" i="7"/>
  <c r="U329" i="7"/>
  <c r="V329" i="7"/>
  <c r="V510" i="7"/>
  <c r="V514" i="7"/>
  <c r="U612" i="7"/>
  <c r="V612" i="7"/>
  <c r="U646" i="7"/>
  <c r="V646" i="7"/>
  <c r="V659" i="7"/>
  <c r="U659" i="7"/>
  <c r="U680" i="7"/>
  <c r="V680" i="7"/>
  <c r="S801" i="7"/>
  <c r="D801" i="7"/>
  <c r="R801" i="7" s="1"/>
  <c r="X1011" i="7"/>
  <c r="R1011" i="7"/>
  <c r="X1019" i="7"/>
  <c r="R1019" i="7"/>
  <c r="X1039" i="7"/>
  <c r="R1039" i="7"/>
  <c r="V15" i="7"/>
  <c r="U15" i="7"/>
  <c r="V18" i="7"/>
  <c r="U78" i="7"/>
  <c r="S82" i="7"/>
  <c r="U82" i="7" s="1"/>
  <c r="T82" i="7"/>
  <c r="V82" i="7" s="1"/>
  <c r="U116" i="7"/>
  <c r="U130" i="7"/>
  <c r="V134" i="7"/>
  <c r="U173" i="7"/>
  <c r="U235" i="7"/>
  <c r="U244" i="7"/>
  <c r="V272" i="7"/>
  <c r="U272" i="7"/>
  <c r="V289" i="7"/>
  <c r="U289" i="7"/>
  <c r="S354" i="7"/>
  <c r="U354" i="7" s="1"/>
  <c r="T354" i="7"/>
  <c r="R358" i="7"/>
  <c r="V414" i="7"/>
  <c r="V475" i="7"/>
  <c r="U475" i="7"/>
  <c r="V507" i="7"/>
  <c r="U507" i="7"/>
  <c r="U532" i="7"/>
  <c r="V532" i="7"/>
  <c r="V557" i="7"/>
  <c r="V625" i="7"/>
  <c r="U625" i="7"/>
  <c r="V650" i="7"/>
  <c r="U650" i="7"/>
  <c r="T801" i="7"/>
  <c r="X1003" i="7"/>
  <c r="R1003" i="7"/>
  <c r="V43" i="7"/>
  <c r="U45" i="7"/>
  <c r="V51" i="7"/>
  <c r="U53" i="7"/>
  <c r="V87" i="7"/>
  <c r="U87" i="7"/>
  <c r="V96" i="7"/>
  <c r="V149" i="7"/>
  <c r="U151" i="7"/>
  <c r="V183" i="7"/>
  <c r="U183" i="7"/>
  <c r="U206" i="7"/>
  <c r="U255" i="7"/>
  <c r="U327" i="7"/>
  <c r="V327" i="7"/>
  <c r="V354" i="7"/>
  <c r="V371" i="7"/>
  <c r="U371" i="7"/>
  <c r="V415" i="7"/>
  <c r="U415" i="7"/>
  <c r="U426" i="7"/>
  <c r="V431" i="7"/>
  <c r="U431" i="7"/>
  <c r="U555" i="7"/>
  <c r="V555" i="7"/>
  <c r="D561" i="7"/>
  <c r="R561" i="7" s="1"/>
  <c r="S561" i="7"/>
  <c r="U574" i="7"/>
  <c r="V574" i="7"/>
  <c r="U608" i="7"/>
  <c r="V608" i="7"/>
  <c r="V631" i="7"/>
  <c r="U631" i="7"/>
  <c r="U676" i="7"/>
  <c r="V676" i="7"/>
  <c r="U764" i="7"/>
  <c r="T764" i="7"/>
  <c r="S764" i="7"/>
  <c r="D764" i="7"/>
  <c r="D884" i="7"/>
  <c r="R884" i="7" s="1"/>
  <c r="X991" i="7"/>
  <c r="R991" i="7"/>
  <c r="X995" i="7"/>
  <c r="R995" i="7"/>
  <c r="V11" i="7"/>
  <c r="V187" i="7"/>
  <c r="U339" i="7"/>
  <c r="V339" i="7"/>
  <c r="V346" i="7"/>
  <c r="U346" i="7"/>
  <c r="V373" i="7"/>
  <c r="U373" i="7"/>
  <c r="U493" i="7"/>
  <c r="V493" i="7"/>
  <c r="U527" i="7"/>
  <c r="V527" i="7"/>
  <c r="U560" i="7"/>
  <c r="V560" i="7"/>
  <c r="U573" i="7"/>
  <c r="V573" i="7"/>
  <c r="U658" i="7"/>
  <c r="V658" i="7"/>
  <c r="U743" i="7"/>
  <c r="V743" i="7"/>
  <c r="U767" i="7"/>
  <c r="R767" i="7"/>
  <c r="V767" i="7"/>
  <c r="T803" i="7"/>
  <c r="S803" i="7"/>
  <c r="D803" i="7"/>
  <c r="R803" i="7" s="1"/>
  <c r="G27" i="7"/>
  <c r="F27" i="7"/>
  <c r="U83" i="7"/>
  <c r="V224" i="7"/>
  <c r="U224" i="7"/>
  <c r="V274" i="7"/>
  <c r="U274" i="7"/>
  <c r="V291" i="7"/>
  <c r="U291" i="7"/>
  <c r="V311" i="7"/>
  <c r="U311" i="7"/>
  <c r="V380" i="7"/>
  <c r="U380" i="7"/>
  <c r="U388" i="7"/>
  <c r="V388" i="7"/>
  <c r="V423" i="7"/>
  <c r="U423" i="7"/>
  <c r="D428" i="7"/>
  <c r="R428" i="7"/>
  <c r="V497" i="7"/>
  <c r="U497" i="7"/>
  <c r="V523" i="7"/>
  <c r="U523" i="7"/>
  <c r="V539" i="7"/>
  <c r="U539" i="7"/>
  <c r="U564" i="7"/>
  <c r="V564" i="7"/>
  <c r="U580" i="7"/>
  <c r="V580" i="7"/>
  <c r="G628" i="7"/>
  <c r="R628" i="7"/>
  <c r="V751" i="7"/>
  <c r="U751" i="7"/>
  <c r="T763" i="7"/>
  <c r="V763" i="7"/>
  <c r="R963" i="7"/>
  <c r="X963" i="7"/>
  <c r="V204" i="7"/>
  <c r="U204" i="7"/>
  <c r="G26" i="7"/>
  <c r="F26" i="7"/>
  <c r="S26" i="7" s="1"/>
  <c r="T30" i="7"/>
  <c r="V30" i="7" s="1"/>
  <c r="T34" i="7"/>
  <c r="V34" i="7" s="1"/>
  <c r="U48" i="7"/>
  <c r="U61" i="7"/>
  <c r="U66" i="7"/>
  <c r="U146" i="7"/>
  <c r="U347" i="7"/>
  <c r="V347" i="7"/>
  <c r="U498" i="7"/>
  <c r="V498" i="7"/>
  <c r="V528" i="7"/>
  <c r="U528" i="7"/>
  <c r="U591" i="7"/>
  <c r="V640" i="7"/>
  <c r="U667" i="7"/>
  <c r="V667" i="7"/>
  <c r="V744" i="7"/>
  <c r="U744" i="7"/>
  <c r="X979" i="7"/>
  <c r="R979" i="7"/>
  <c r="V117" i="7"/>
  <c r="U117" i="7"/>
  <c r="V164" i="7"/>
  <c r="U164" i="7"/>
  <c r="V181" i="7"/>
  <c r="U181" i="7"/>
  <c r="V28" i="7"/>
  <c r="U28" i="7"/>
  <c r="V32" i="7"/>
  <c r="U32" i="7"/>
  <c r="V36" i="7"/>
  <c r="U36" i="7"/>
  <c r="V49" i="7"/>
  <c r="U49" i="7"/>
  <c r="V62" i="7"/>
  <c r="U62" i="7"/>
  <c r="V147" i="7"/>
  <c r="U147" i="7"/>
  <c r="V290" i="7"/>
  <c r="U290" i="7"/>
  <c r="V310" i="7"/>
  <c r="U310" i="7"/>
  <c r="V381" i="7"/>
  <c r="U381" i="7"/>
  <c r="U488" i="7"/>
  <c r="V488" i="7"/>
  <c r="U509" i="7"/>
  <c r="V509" i="7"/>
  <c r="U538" i="7"/>
  <c r="V538" i="7"/>
  <c r="U578" i="7"/>
  <c r="V578" i="7"/>
  <c r="U750" i="7"/>
  <c r="V750" i="7"/>
  <c r="U797" i="7"/>
  <c r="R1008" i="7"/>
  <c r="X1008" i="7"/>
  <c r="U19" i="7"/>
  <c r="D31" i="7"/>
  <c r="R31" i="7" s="1"/>
  <c r="S31" i="7"/>
  <c r="T35" i="7"/>
  <c r="S35" i="7"/>
  <c r="D35" i="7"/>
  <c r="R35" i="7" s="1"/>
  <c r="U202" i="7"/>
  <c r="V202" i="7"/>
  <c r="V268" i="7"/>
  <c r="V285" i="7"/>
  <c r="V293" i="7"/>
  <c r="V328" i="7"/>
  <c r="U328" i="7"/>
  <c r="V342" i="7"/>
  <c r="V389" i="7"/>
  <c r="U432" i="7"/>
  <c r="V432" i="7"/>
  <c r="U556" i="7"/>
  <c r="V556" i="7"/>
  <c r="V559" i="7"/>
  <c r="U559" i="7"/>
  <c r="V649" i="7"/>
  <c r="U649" i="7"/>
  <c r="AK726" i="7"/>
  <c r="AM726" i="7"/>
  <c r="S730" i="7"/>
  <c r="V765" i="7"/>
  <c r="T765" i="7"/>
  <c r="S765" i="7"/>
  <c r="D765" i="7"/>
  <c r="U44" i="7"/>
  <c r="U47" i="7"/>
  <c r="U52" i="7"/>
  <c r="U60" i="7"/>
  <c r="U150" i="7"/>
  <c r="U155" i="7"/>
  <c r="V205" i="7"/>
  <c r="U208" i="7"/>
  <c r="U243" i="7"/>
  <c r="U253" i="7"/>
  <c r="U270" i="7"/>
  <c r="V270" i="7"/>
  <c r="U348" i="7"/>
  <c r="V348" i="7"/>
  <c r="V440" i="7"/>
  <c r="V576" i="7"/>
  <c r="U576" i="7"/>
  <c r="V593" i="7"/>
  <c r="V623" i="7"/>
  <c r="R632" i="7"/>
  <c r="D746" i="7"/>
  <c r="R746" i="7"/>
  <c r="W965" i="7"/>
  <c r="D965" i="7"/>
  <c r="R965" i="7" s="1"/>
  <c r="V312" i="7"/>
  <c r="U312" i="7"/>
  <c r="V375" i="7"/>
  <c r="U375" i="7"/>
  <c r="U424" i="7"/>
  <c r="V424" i="7"/>
  <c r="V17" i="7"/>
  <c r="U17" i="7"/>
  <c r="V133" i="7"/>
  <c r="U133" i="7"/>
  <c r="U217" i="7"/>
  <c r="V217" i="7"/>
  <c r="U256" i="7"/>
  <c r="V256" i="7"/>
  <c r="V338" i="7"/>
  <c r="U338" i="7"/>
  <c r="V344" i="7"/>
  <c r="U344" i="7"/>
  <c r="V422" i="7"/>
  <c r="U422" i="7"/>
  <c r="V492" i="7"/>
  <c r="U492" i="7"/>
  <c r="U614" i="7"/>
  <c r="V614" i="7"/>
  <c r="R627" i="7"/>
  <c r="G627" i="7"/>
  <c r="V657" i="7"/>
  <c r="U657" i="7"/>
  <c r="U674" i="7"/>
  <c r="V674" i="7"/>
  <c r="U682" i="7"/>
  <c r="V682" i="7"/>
  <c r="T799" i="7"/>
  <c r="AJ883" i="7"/>
  <c r="H883" i="7" s="1"/>
  <c r="AI883" i="7"/>
  <c r="G883" i="7" s="1"/>
  <c r="AH883" i="7"/>
  <c r="F883" i="7" s="1"/>
  <c r="AL883" i="7"/>
  <c r="J883" i="7" s="1"/>
  <c r="AK883" i="7"/>
  <c r="I883" i="7" s="1"/>
  <c r="AG883" i="7"/>
  <c r="E883" i="7" s="1"/>
  <c r="V81" i="7"/>
  <c r="U81" i="7"/>
  <c r="V119" i="7"/>
  <c r="U119" i="7"/>
  <c r="V145" i="7"/>
  <c r="V209" i="7"/>
  <c r="U234" i="7"/>
  <c r="U319" i="7"/>
  <c r="V319" i="7"/>
  <c r="U321" i="7"/>
  <c r="R362" i="7"/>
  <c r="S360" i="7"/>
  <c r="U360" i="7" s="1"/>
  <c r="S364" i="7"/>
  <c r="S356" i="7"/>
  <c r="R356" i="7"/>
  <c r="R364" i="7"/>
  <c r="T356" i="7"/>
  <c r="V430" i="7"/>
  <c r="U430" i="7"/>
  <c r="V547" i="7"/>
  <c r="V572" i="7"/>
  <c r="U598" i="7"/>
  <c r="U611" i="7"/>
  <c r="V611" i="7"/>
  <c r="U615" i="7"/>
  <c r="V624" i="7"/>
  <c r="U624" i="7"/>
  <c r="V645" i="7"/>
  <c r="U645" i="7"/>
  <c r="V662" i="7"/>
  <c r="U662" i="7"/>
  <c r="V691" i="7"/>
  <c r="U320" i="7"/>
  <c r="V472" i="7"/>
  <c r="U472" i="7"/>
  <c r="U490" i="7"/>
  <c r="V490" i="7"/>
  <c r="U506" i="7"/>
  <c r="V506" i="7"/>
  <c r="V565" i="7"/>
  <c r="U565" i="7"/>
  <c r="V735" i="7"/>
  <c r="U735" i="7"/>
  <c r="V759" i="7"/>
  <c r="U759" i="7"/>
  <c r="V769" i="7"/>
  <c r="R1020" i="7"/>
  <c r="X1020" i="7"/>
  <c r="U548" i="7"/>
  <c r="V548" i="7"/>
  <c r="U641" i="7"/>
  <c r="R761" i="7"/>
  <c r="V761" i="7"/>
  <c r="U761" i="7"/>
  <c r="T797" i="7"/>
  <c r="V797" i="7" s="1"/>
  <c r="D885" i="7"/>
  <c r="R885" i="7" s="1"/>
  <c r="X961" i="7"/>
  <c r="R961" i="7"/>
  <c r="R1035" i="7"/>
  <c r="X1035" i="7"/>
  <c r="V398" i="7"/>
  <c r="U398" i="7"/>
  <c r="V476" i="7"/>
  <c r="U476" i="7"/>
  <c r="V526" i="7"/>
  <c r="U526" i="7"/>
  <c r="V598" i="7"/>
  <c r="V675" i="7"/>
  <c r="U733" i="7"/>
  <c r="V733" i="7"/>
  <c r="R846" i="7"/>
  <c r="R957" i="7"/>
  <c r="X980" i="7"/>
  <c r="R980" i="7"/>
  <c r="U473" i="7"/>
  <c r="V473" i="7"/>
  <c r="V665" i="7"/>
  <c r="U665" i="7"/>
  <c r="V742" i="7"/>
  <c r="U742" i="7"/>
  <c r="X1045" i="7"/>
  <c r="R1045" i="7"/>
  <c r="V191" i="7"/>
  <c r="V394" i="7"/>
  <c r="V471" i="7"/>
  <c r="U542" i="7"/>
  <c r="U699" i="7"/>
  <c r="V699" i="7"/>
  <c r="U727" i="7"/>
  <c r="V727" i="7"/>
  <c r="D747" i="7"/>
  <c r="R747" i="7" s="1"/>
  <c r="T747" i="7"/>
  <c r="W748" i="7" s="1"/>
  <c r="AD794" i="7"/>
  <c r="E798" i="7" s="1"/>
  <c r="AE794" i="7"/>
  <c r="F798" i="7" s="1"/>
  <c r="T798" i="7" s="1"/>
  <c r="R989" i="7"/>
  <c r="X989" i="7"/>
  <c r="X1041" i="7"/>
  <c r="R1041" i="7"/>
  <c r="V379" i="7"/>
  <c r="U379" i="7"/>
  <c r="V477" i="7"/>
  <c r="U477" i="7"/>
  <c r="V480" i="7"/>
  <c r="U480" i="7"/>
  <c r="U511" i="7"/>
  <c r="V511" i="7"/>
  <c r="U324" i="7"/>
  <c r="T372" i="7"/>
  <c r="D372" i="7"/>
  <c r="R372" i="7" s="1"/>
  <c r="S372" i="7"/>
  <c r="U489" i="7"/>
  <c r="V496" i="7"/>
  <c r="U597" i="7"/>
  <c r="V599" i="7"/>
  <c r="V726" i="7"/>
  <c r="S746" i="7"/>
  <c r="D847" i="7"/>
  <c r="R847" i="7" s="1"/>
  <c r="D964" i="7"/>
  <c r="W964" i="7"/>
  <c r="R1025" i="7"/>
  <c r="S363" i="7"/>
  <c r="V629" i="7"/>
  <c r="U717" i="7"/>
  <c r="AL726" i="7"/>
  <c r="AN726" i="7"/>
  <c r="T730" i="7"/>
  <c r="S747" i="7"/>
  <c r="D748" i="7"/>
  <c r="R748" i="7"/>
  <c r="R776" i="7"/>
  <c r="F784" i="7"/>
  <c r="D784" i="7" s="1"/>
  <c r="R784" i="7" s="1"/>
  <c r="R848" i="7"/>
  <c r="T731" i="7"/>
  <c r="R1009" i="7"/>
  <c r="X1009" i="7"/>
  <c r="V444" i="7"/>
  <c r="V546" i="7"/>
  <c r="U546" i="7"/>
  <c r="V577" i="7"/>
  <c r="U577" i="7"/>
  <c r="D730" i="7"/>
  <c r="R730" i="7" s="1"/>
  <c r="F785" i="7"/>
  <c r="E785" i="7"/>
  <c r="D785" i="7" s="1"/>
  <c r="R785" i="7" s="1"/>
  <c r="R777" i="7"/>
  <c r="R1023" i="7"/>
  <c r="G1023" i="7"/>
  <c r="U522" i="7"/>
  <c r="V716" i="7"/>
  <c r="U716" i="7"/>
  <c r="S763" i="7"/>
  <c r="D763" i="7"/>
  <c r="V708" i="7"/>
  <c r="AL885" i="7"/>
  <c r="J885" i="7" s="1"/>
  <c r="AK885" i="7"/>
  <c r="I885" i="7" s="1"/>
  <c r="AF885" i="7"/>
  <c r="X965" i="7"/>
  <c r="F633" i="7"/>
  <c r="S734" i="7"/>
  <c r="U734" i="7" s="1"/>
  <c r="S802" i="7"/>
  <c r="D802" i="7"/>
  <c r="R802" i="7" s="1"/>
  <c r="E633" i="7"/>
  <c r="R633" i="7" s="1"/>
  <c r="AL725" i="7"/>
  <c r="S729" i="7"/>
  <c r="U729" i="7" s="1"/>
  <c r="D731" i="7"/>
  <c r="R731" i="7" s="1"/>
  <c r="S748" i="7"/>
  <c r="V778" i="7"/>
  <c r="F34" i="1" l="1"/>
  <c r="V747" i="7"/>
  <c r="U747" i="7"/>
  <c r="V801" i="7"/>
  <c r="U801" i="7"/>
  <c r="V777" i="7"/>
  <c r="U777" i="7"/>
  <c r="S27" i="7"/>
  <c r="D27" i="7"/>
  <c r="R27" i="7" s="1"/>
  <c r="T27" i="7"/>
  <c r="U784" i="7"/>
  <c r="V784" i="7"/>
  <c r="V776" i="7"/>
  <c r="U776" i="7"/>
  <c r="D883" i="7"/>
  <c r="U803" i="7"/>
  <c r="V803" i="7"/>
  <c r="U730" i="7"/>
  <c r="V730" i="7"/>
  <c r="U362" i="7"/>
  <c r="V362" i="7"/>
  <c r="V731" i="7"/>
  <c r="U731" i="7"/>
  <c r="D798" i="7"/>
  <c r="R798" i="7" s="1"/>
  <c r="S798" i="7"/>
  <c r="U627" i="7"/>
  <c r="V627" i="7"/>
  <c r="W765" i="7"/>
  <c r="U358" i="7"/>
  <c r="V358" i="7"/>
  <c r="V785" i="7"/>
  <c r="U785" i="7"/>
  <c r="R964" i="7"/>
  <c r="X964" i="7"/>
  <c r="V748" i="7"/>
  <c r="U748" i="7"/>
  <c r="R763" i="7"/>
  <c r="U763" i="7"/>
  <c r="R883" i="7"/>
  <c r="U765" i="7"/>
  <c r="R765" i="7"/>
  <c r="V35" i="7"/>
  <c r="U35" i="7"/>
  <c r="U633" i="7"/>
  <c r="V633" i="7"/>
  <c r="V428" i="7"/>
  <c r="U428" i="7"/>
  <c r="U799" i="7"/>
  <c r="V799" i="7"/>
  <c r="U364" i="7"/>
  <c r="V364" i="7"/>
  <c r="R764" i="7"/>
  <c r="V764" i="7"/>
  <c r="V746" i="7"/>
  <c r="U746" i="7"/>
  <c r="V628" i="7"/>
  <c r="U628" i="7"/>
  <c r="U802" i="7"/>
  <c r="V802" i="7"/>
  <c r="V632" i="7"/>
  <c r="U632" i="7"/>
  <c r="V31" i="7"/>
  <c r="U31" i="7"/>
  <c r="D26" i="7"/>
  <c r="R26" i="7" s="1"/>
  <c r="U372" i="7"/>
  <c r="V372" i="7"/>
  <c r="U356" i="7"/>
  <c r="V356" i="7"/>
  <c r="U561" i="7"/>
  <c r="V561" i="7"/>
  <c r="V27" i="7" l="1"/>
  <c r="U27" i="7"/>
  <c r="V798" i="7"/>
  <c r="U798" i="7"/>
  <c r="V26" i="7"/>
  <c r="U26" i="7"/>
  <c r="EZ56" i="4" l="1"/>
  <c r="ET56" i="4"/>
  <c r="EN56" i="4"/>
  <c r="DY56" i="4"/>
  <c r="DL56" i="4"/>
  <c r="CY56" i="4"/>
  <c r="CL56" i="4"/>
  <c r="BY56" i="4"/>
  <c r="BL56" i="4"/>
  <c r="AY56" i="4"/>
  <c r="AL56" i="4"/>
  <c r="EB56" i="4" s="1"/>
  <c r="EF56" i="4" s="1"/>
  <c r="Y56" i="4"/>
  <c r="EA56" i="4" s="1"/>
  <c r="EE56" i="4" s="1"/>
  <c r="EZ55" i="4"/>
  <c r="ET55" i="4"/>
  <c r="EN55" i="4"/>
  <c r="DY55" i="4"/>
  <c r="DL55" i="4"/>
  <c r="CY55" i="4"/>
  <c r="CL55" i="4"/>
  <c r="BY55" i="4"/>
  <c r="BL55" i="4" s="1"/>
  <c r="AY55" i="4"/>
  <c r="EC55" i="4" s="1"/>
  <c r="EG55" i="4" s="1"/>
  <c r="AL55" i="4"/>
  <c r="Y55" i="4"/>
  <c r="EZ54" i="4"/>
  <c r="ET54" i="4"/>
  <c r="EN54" i="4"/>
  <c r="DY54" i="4"/>
  <c r="DL54" i="4"/>
  <c r="CY54" i="4"/>
  <c r="CL54" i="4"/>
  <c r="BY54" i="4"/>
  <c r="BL54" i="4" s="1"/>
  <c r="AY54" i="4"/>
  <c r="AL54" i="4"/>
  <c r="Y54" i="4"/>
  <c r="EZ53" i="4"/>
  <c r="ET53" i="4"/>
  <c r="EN53" i="4"/>
  <c r="DY53" i="4"/>
  <c r="DL53" i="4"/>
  <c r="CY53" i="4"/>
  <c r="CL53" i="4"/>
  <c r="BY53" i="4"/>
  <c r="BL53" i="4"/>
  <c r="AY53" i="4"/>
  <c r="AL53" i="4"/>
  <c r="Y53" i="4"/>
  <c r="EZ52" i="4"/>
  <c r="ET52" i="4"/>
  <c r="EN52" i="4"/>
  <c r="DY52" i="4"/>
  <c r="DL52" i="4"/>
  <c r="CY52" i="4"/>
  <c r="CL52" i="4"/>
  <c r="BY52" i="4"/>
  <c r="BL52" i="4"/>
  <c r="AY52" i="4"/>
  <c r="AL52" i="4"/>
  <c r="Y52" i="4"/>
  <c r="EZ51" i="4"/>
  <c r="ET51" i="4"/>
  <c r="EN51" i="4"/>
  <c r="DY51" i="4"/>
  <c r="DL51" i="4"/>
  <c r="CY51" i="4"/>
  <c r="CL51" i="4"/>
  <c r="BY51" i="4"/>
  <c r="BL51" i="4"/>
  <c r="AY51" i="4"/>
  <c r="AL51" i="4"/>
  <c r="Y51" i="4"/>
  <c r="EZ50" i="4"/>
  <c r="ET50" i="4"/>
  <c r="EN50" i="4"/>
  <c r="DY50" i="4"/>
  <c r="DL50" i="4"/>
  <c r="CY50" i="4"/>
  <c r="CL50" i="4"/>
  <c r="BY50" i="4"/>
  <c r="BL50" i="4"/>
  <c r="AY50" i="4"/>
  <c r="AL50" i="4"/>
  <c r="Y50" i="4"/>
  <c r="EZ49" i="4"/>
  <c r="ET49" i="4"/>
  <c r="EN49" i="4"/>
  <c r="DY49" i="4"/>
  <c r="DL49" i="4"/>
  <c r="CY49" i="4"/>
  <c r="CL49" i="4"/>
  <c r="BY49" i="4"/>
  <c r="BL49" i="4"/>
  <c r="AY49" i="4"/>
  <c r="AL49" i="4"/>
  <c r="Y49" i="4"/>
  <c r="EZ48" i="4"/>
  <c r="ET48" i="4"/>
  <c r="EN48" i="4"/>
  <c r="DY48" i="4"/>
  <c r="DL48" i="4"/>
  <c r="CY48" i="4"/>
  <c r="CL48" i="4"/>
  <c r="BY48" i="4"/>
  <c r="BL48" i="4"/>
  <c r="AY48" i="4"/>
  <c r="AL48" i="4"/>
  <c r="Y48" i="4"/>
  <c r="EZ47" i="4"/>
  <c r="ET47" i="4"/>
  <c r="EN47" i="4"/>
  <c r="DY47" i="4"/>
  <c r="DL47" i="4"/>
  <c r="CY47" i="4"/>
  <c r="CL47" i="4"/>
  <c r="BY47" i="4"/>
  <c r="BL47" i="4"/>
  <c r="AY47" i="4"/>
  <c r="AL47" i="4"/>
  <c r="Y47" i="4"/>
  <c r="EZ46" i="4"/>
  <c r="ET46" i="4"/>
  <c r="EN46" i="4"/>
  <c r="DY46" i="4"/>
  <c r="DL46" i="4"/>
  <c r="CY46" i="4"/>
  <c r="CL46" i="4"/>
  <c r="BY46" i="4"/>
  <c r="BL46" i="4" s="1"/>
  <c r="AY46" i="4"/>
  <c r="AL46" i="4"/>
  <c r="Y46" i="4"/>
  <c r="EZ45" i="4"/>
  <c r="ET45" i="4"/>
  <c r="EN45" i="4"/>
  <c r="DY45" i="4"/>
  <c r="DL45" i="4"/>
  <c r="CY45" i="4"/>
  <c r="CL45" i="4"/>
  <c r="BY45" i="4"/>
  <c r="BL45" i="4"/>
  <c r="AY45" i="4"/>
  <c r="AL45" i="4"/>
  <c r="Y45" i="4"/>
  <c r="EZ44" i="4"/>
  <c r="ET44" i="4"/>
  <c r="EN44" i="4"/>
  <c r="DY44" i="4"/>
  <c r="DL44" i="4"/>
  <c r="CY44" i="4"/>
  <c r="CL44" i="4"/>
  <c r="BY44" i="4"/>
  <c r="BL44" i="4" s="1"/>
  <c r="AY44" i="4"/>
  <c r="AL44" i="4"/>
  <c r="Y44" i="4"/>
  <c r="EZ43" i="4"/>
  <c r="ET43" i="4"/>
  <c r="EN43" i="4"/>
  <c r="DY43" i="4"/>
  <c r="DL43" i="4"/>
  <c r="CY43" i="4"/>
  <c r="CL43" i="4"/>
  <c r="BY43" i="4"/>
  <c r="BL43" i="4" s="1"/>
  <c r="AY43" i="4"/>
  <c r="AL43" i="4"/>
  <c r="Y43" i="4"/>
  <c r="EZ42" i="4"/>
  <c r="ET42" i="4"/>
  <c r="EN42" i="4"/>
  <c r="DY42" i="4"/>
  <c r="DL42" i="4"/>
  <c r="CY42" i="4"/>
  <c r="CL42" i="4"/>
  <c r="BY42" i="4"/>
  <c r="BL42" i="4" s="1"/>
  <c r="AY42" i="4"/>
  <c r="AL42" i="4"/>
  <c r="Y42" i="4"/>
  <c r="EZ41" i="4"/>
  <c r="ET41" i="4"/>
  <c r="EN41" i="4"/>
  <c r="DY41" i="4"/>
  <c r="DL41" i="4"/>
  <c r="CY41" i="4"/>
  <c r="CL41" i="4"/>
  <c r="BY41" i="4"/>
  <c r="BL41" i="4" s="1"/>
  <c r="AY41" i="4"/>
  <c r="AL41" i="4"/>
  <c r="Y41" i="4"/>
  <c r="EZ40" i="4"/>
  <c r="ET40" i="4"/>
  <c r="EN40" i="4"/>
  <c r="DY40" i="4"/>
  <c r="DL40" i="4"/>
  <c r="CY40" i="4"/>
  <c r="CL40" i="4"/>
  <c r="BY40" i="4"/>
  <c r="BL40" i="4"/>
  <c r="AY40" i="4"/>
  <c r="AL40" i="4"/>
  <c r="Y40" i="4"/>
  <c r="EZ39" i="4"/>
  <c r="ET39" i="4"/>
  <c r="EN39" i="4"/>
  <c r="DY39" i="4"/>
  <c r="DL39" i="4"/>
  <c r="CY39" i="4"/>
  <c r="CL39" i="4"/>
  <c r="BY39" i="4"/>
  <c r="BL39" i="4"/>
  <c r="AY39" i="4"/>
  <c r="AL39" i="4"/>
  <c r="Y39" i="4"/>
  <c r="EZ38" i="4"/>
  <c r="ET38" i="4"/>
  <c r="EN38" i="4"/>
  <c r="DY38" i="4"/>
  <c r="DL38" i="4"/>
  <c r="CY38" i="4"/>
  <c r="CL38" i="4"/>
  <c r="BY38" i="4"/>
  <c r="BL38" i="4"/>
  <c r="AY38" i="4"/>
  <c r="AL38" i="4"/>
  <c r="Y38" i="4"/>
  <c r="EZ37" i="4"/>
  <c r="ET37" i="4"/>
  <c r="EN37" i="4"/>
  <c r="DY37" i="4"/>
  <c r="DL37" i="4"/>
  <c r="CY37" i="4"/>
  <c r="CL37" i="4"/>
  <c r="BY37" i="4"/>
  <c r="BL37" i="4"/>
  <c r="AY37" i="4"/>
  <c r="AL37" i="4"/>
  <c r="Y37" i="4"/>
  <c r="EZ36" i="4"/>
  <c r="ET36" i="4"/>
  <c r="EN36" i="4"/>
  <c r="DY36" i="4"/>
  <c r="DL36" i="4"/>
  <c r="CY36" i="4"/>
  <c r="CL36" i="4"/>
  <c r="BY36" i="4"/>
  <c r="BL36" i="4"/>
  <c r="AY36" i="4"/>
  <c r="AL36" i="4"/>
  <c r="Y36" i="4"/>
  <c r="EZ35" i="4"/>
  <c r="ET35" i="4"/>
  <c r="EN35" i="4"/>
  <c r="DY35" i="4"/>
  <c r="DL35" i="4"/>
  <c r="CY35" i="4"/>
  <c r="CL35" i="4"/>
  <c r="BY35" i="4"/>
  <c r="BL35" i="4"/>
  <c r="AY35" i="4"/>
  <c r="AL35" i="4"/>
  <c r="Y35" i="4"/>
  <c r="EZ34" i="4"/>
  <c r="ET34" i="4"/>
  <c r="EN34" i="4"/>
  <c r="DY34" i="4"/>
  <c r="DL34" i="4"/>
  <c r="CY34" i="4"/>
  <c r="CL34" i="4"/>
  <c r="BY34" i="4"/>
  <c r="BL34" i="4"/>
  <c r="AY34" i="4"/>
  <c r="AL34" i="4"/>
  <c r="Y34" i="4"/>
  <c r="EZ33" i="4"/>
  <c r="ET33" i="4"/>
  <c r="EN33" i="4"/>
  <c r="DY33" i="4"/>
  <c r="DL33" i="4"/>
  <c r="CY33" i="4"/>
  <c r="CL33" i="4"/>
  <c r="BY33" i="4"/>
  <c r="BL33" i="4"/>
  <c r="AY33" i="4"/>
  <c r="AL33" i="4"/>
  <c r="Y33" i="4"/>
  <c r="EZ32" i="4"/>
  <c r="ET32" i="4"/>
  <c r="EN32" i="4"/>
  <c r="DY32" i="4"/>
  <c r="DL32" i="4"/>
  <c r="CY32" i="4"/>
  <c r="CL32" i="4"/>
  <c r="BY32" i="4"/>
  <c r="BL32" i="4"/>
  <c r="AY32" i="4"/>
  <c r="AL32" i="4"/>
  <c r="Y32" i="4"/>
  <c r="EZ31" i="4"/>
  <c r="ET31" i="4"/>
  <c r="EN31" i="4"/>
  <c r="DY31" i="4"/>
  <c r="DL31" i="4"/>
  <c r="CY31" i="4"/>
  <c r="CL31" i="4"/>
  <c r="BY31" i="4"/>
  <c r="BL31" i="4"/>
  <c r="AY31" i="4"/>
  <c r="AL31" i="4"/>
  <c r="Y31" i="4"/>
  <c r="EZ30" i="4"/>
  <c r="ET30" i="4"/>
  <c r="EN30" i="4"/>
  <c r="DY30" i="4"/>
  <c r="DL30" i="4"/>
  <c r="CY30" i="4"/>
  <c r="CL30" i="4"/>
  <c r="BY30" i="4"/>
  <c r="BL30" i="4"/>
  <c r="AY30" i="4"/>
  <c r="AL30" i="4"/>
  <c r="Y30" i="4"/>
  <c r="EZ29" i="4"/>
  <c r="ET29" i="4"/>
  <c r="EN29" i="4"/>
  <c r="DY29" i="4"/>
  <c r="DL29" i="4"/>
  <c r="CY29" i="4"/>
  <c r="CL29" i="4"/>
  <c r="BY29" i="4"/>
  <c r="BL29" i="4"/>
  <c r="AY29" i="4"/>
  <c r="AL29" i="4"/>
  <c r="Y29" i="4"/>
  <c r="EZ28" i="4"/>
  <c r="ET28" i="4"/>
  <c r="EN28" i="4"/>
  <c r="DY28" i="4"/>
  <c r="DL28" i="4"/>
  <c r="CY28" i="4"/>
  <c r="CL28" i="4"/>
  <c r="BY28" i="4"/>
  <c r="BL28" i="4"/>
  <c r="AY28" i="4"/>
  <c r="AL28" i="4"/>
  <c r="Y28" i="4"/>
  <c r="EZ27" i="4"/>
  <c r="ET27" i="4"/>
  <c r="EN27" i="4"/>
  <c r="DY27" i="4"/>
  <c r="DL27" i="4"/>
  <c r="CY27" i="4"/>
  <c r="CL27" i="4"/>
  <c r="BY27" i="4"/>
  <c r="BL27" i="4"/>
  <c r="AY27" i="4"/>
  <c r="AL27" i="4"/>
  <c r="Y27" i="4"/>
  <c r="EZ26" i="4"/>
  <c r="ET26" i="4"/>
  <c r="EN26" i="4"/>
  <c r="DY26" i="4"/>
  <c r="DL26" i="4"/>
  <c r="CY26" i="4"/>
  <c r="CL26" i="4"/>
  <c r="BY26" i="4"/>
  <c r="BL26" i="4"/>
  <c r="AY26" i="4"/>
  <c r="AL26" i="4"/>
  <c r="Y26" i="4"/>
  <c r="EZ25" i="4"/>
  <c r="ET25" i="4"/>
  <c r="EN25" i="4"/>
  <c r="DY25" i="4"/>
  <c r="DL25" i="4"/>
  <c r="CY25" i="4"/>
  <c r="CL25" i="4"/>
  <c r="BY25" i="4"/>
  <c r="BL25" i="4"/>
  <c r="AY25" i="4"/>
  <c r="AL25" i="4"/>
  <c r="Y25" i="4"/>
  <c r="EZ24" i="4"/>
  <c r="ET24" i="4"/>
  <c r="EN24" i="4"/>
  <c r="DY24" i="4"/>
  <c r="DL24" i="4"/>
  <c r="CY24" i="4"/>
  <c r="CL24" i="4"/>
  <c r="BY24" i="4"/>
  <c r="BL24" i="4"/>
  <c r="AY24" i="4"/>
  <c r="AL24" i="4"/>
  <c r="Y24" i="4"/>
  <c r="EZ23" i="4"/>
  <c r="ET23" i="4"/>
  <c r="EN23" i="4"/>
  <c r="DY23" i="4"/>
  <c r="DL23" i="4"/>
  <c r="CY23" i="4"/>
  <c r="CL23" i="4"/>
  <c r="BY23" i="4"/>
  <c r="BL23" i="4"/>
  <c r="AY23" i="4"/>
  <c r="AL23" i="4"/>
  <c r="Y23" i="4"/>
  <c r="EZ22" i="4"/>
  <c r="ET22" i="4"/>
  <c r="EN22" i="4"/>
  <c r="DY22" i="4"/>
  <c r="DL22" i="4"/>
  <c r="CY22" i="4"/>
  <c r="CL22" i="4"/>
  <c r="BY22" i="4"/>
  <c r="BL22" i="4"/>
  <c r="AY22" i="4"/>
  <c r="AL22" i="4"/>
  <c r="Y22" i="4"/>
  <c r="EZ21" i="4"/>
  <c r="ET21" i="4"/>
  <c r="EN21" i="4"/>
  <c r="DY21" i="4"/>
  <c r="DL21" i="4"/>
  <c r="CY21" i="4"/>
  <c r="CL21" i="4"/>
  <c r="BY21" i="4"/>
  <c r="BL21" i="4" s="1"/>
  <c r="AY21" i="4"/>
  <c r="AL21" i="4"/>
  <c r="Y21" i="4"/>
  <c r="EZ20" i="4"/>
  <c r="ET20" i="4"/>
  <c r="EN20" i="4"/>
  <c r="DY20" i="4"/>
  <c r="DL20" i="4"/>
  <c r="CY20" i="4"/>
  <c r="CL20" i="4"/>
  <c r="BY20" i="4"/>
  <c r="BL20" i="4"/>
  <c r="AY20" i="4"/>
  <c r="AL20" i="4"/>
  <c r="Y20" i="4"/>
  <c r="EZ19" i="4"/>
  <c r="ET19" i="4"/>
  <c r="EN19" i="4"/>
  <c r="DY19" i="4"/>
  <c r="DL19" i="4"/>
  <c r="CY19" i="4"/>
  <c r="CL19" i="4"/>
  <c r="BY19" i="4"/>
  <c r="BL19" i="4"/>
  <c r="AY19" i="4"/>
  <c r="AL19" i="4"/>
  <c r="EB19" i="4" s="1"/>
  <c r="EF19" i="4" s="1"/>
  <c r="Y19" i="4"/>
  <c r="EZ18" i="4"/>
  <c r="ET18" i="4"/>
  <c r="EN18" i="4"/>
  <c r="DY18" i="4"/>
  <c r="DL18" i="4"/>
  <c r="CY18" i="4"/>
  <c r="CL18" i="4"/>
  <c r="BY18" i="4"/>
  <c r="BL18" i="4" s="1"/>
  <c r="AY18" i="4"/>
  <c r="AL18" i="4"/>
  <c r="Y18" i="4"/>
  <c r="EZ17" i="4"/>
  <c r="ET17" i="4"/>
  <c r="EN17" i="4"/>
  <c r="DY17" i="4"/>
  <c r="DL17" i="4"/>
  <c r="CY17" i="4"/>
  <c r="CL17" i="4"/>
  <c r="BY17" i="4"/>
  <c r="BL17" i="4"/>
  <c r="AY17" i="4"/>
  <c r="AL17" i="4"/>
  <c r="Y17" i="4"/>
  <c r="EZ16" i="4"/>
  <c r="ET16" i="4"/>
  <c r="EN16" i="4"/>
  <c r="DY16" i="4"/>
  <c r="DL16" i="4"/>
  <c r="CY16" i="4"/>
  <c r="CL16" i="4"/>
  <c r="BY16" i="4"/>
  <c r="BL16" i="4"/>
  <c r="AY16" i="4"/>
  <c r="AL16" i="4"/>
  <c r="Y16" i="4"/>
  <c r="EZ15" i="4"/>
  <c r="ET15" i="4"/>
  <c r="EN15" i="4"/>
  <c r="DY15" i="4"/>
  <c r="DL15" i="4"/>
  <c r="CY15" i="4"/>
  <c r="CL15" i="4"/>
  <c r="BY15" i="4"/>
  <c r="AY15" i="4"/>
  <c r="AL15" i="4"/>
  <c r="Y15" i="4"/>
  <c r="EZ14" i="4"/>
  <c r="ET14" i="4"/>
  <c r="EN14" i="4"/>
  <c r="DY14" i="4"/>
  <c r="DL14" i="4"/>
  <c r="CY14" i="4"/>
  <c r="CL14" i="4"/>
  <c r="BY14" i="4"/>
  <c r="BL14" i="4"/>
  <c r="AY14" i="4"/>
  <c r="AL14" i="4"/>
  <c r="Y14" i="4"/>
  <c r="EZ13" i="4"/>
  <c r="ET13" i="4"/>
  <c r="EN13" i="4"/>
  <c r="DY13" i="4"/>
  <c r="DL13" i="4"/>
  <c r="CY13" i="4"/>
  <c r="CL13" i="4"/>
  <c r="BY13" i="4"/>
  <c r="BL13" i="4"/>
  <c r="AY13" i="4"/>
  <c r="AL13" i="4"/>
  <c r="Y13" i="4"/>
  <c r="EZ12" i="4"/>
  <c r="ET12" i="4"/>
  <c r="EN12" i="4"/>
  <c r="DY12" i="4"/>
  <c r="DL12" i="4"/>
  <c r="CY12" i="4"/>
  <c r="CL12" i="4"/>
  <c r="BY12" i="4"/>
  <c r="BL12" i="4"/>
  <c r="AY12" i="4"/>
  <c r="EC12" i="4" s="1"/>
  <c r="EG12" i="4" s="1"/>
  <c r="AL12" i="4"/>
  <c r="Y12" i="4"/>
  <c r="EZ11" i="4"/>
  <c r="ET11" i="4"/>
  <c r="EN11" i="4"/>
  <c r="DY11" i="4"/>
  <c r="DL11" i="4"/>
  <c r="CY11" i="4"/>
  <c r="CL11" i="4"/>
  <c r="BY11" i="4"/>
  <c r="BL11" i="4"/>
  <c r="AY11" i="4"/>
  <c r="AL11" i="4"/>
  <c r="Y11" i="4"/>
  <c r="EC53" i="4" l="1"/>
  <c r="EG53" i="4" s="1"/>
  <c r="EC43" i="4"/>
  <c r="EG43" i="4" s="1"/>
  <c r="EC21" i="4"/>
  <c r="EG21" i="4" s="1"/>
  <c r="EB52" i="4"/>
  <c r="EF52" i="4" s="1"/>
  <c r="EA44" i="4"/>
  <c r="EE44" i="4" s="1"/>
  <c r="EC51" i="4"/>
  <c r="EG51" i="4" s="1"/>
  <c r="EC15" i="4"/>
  <c r="EG15" i="4" s="1"/>
  <c r="EB24" i="4"/>
  <c r="EF24" i="4" s="1"/>
  <c r="EC23" i="4"/>
  <c r="EG23" i="4" s="1"/>
  <c r="EC31" i="4"/>
  <c r="EG31" i="4" s="1"/>
  <c r="EC33" i="4"/>
  <c r="EG33" i="4" s="1"/>
  <c r="EB21" i="4"/>
  <c r="EF21" i="4" s="1"/>
  <c r="EC25" i="4"/>
  <c r="EG25" i="4" s="1"/>
  <c r="EC39" i="4"/>
  <c r="EG39" i="4" s="1"/>
  <c r="EA48" i="4"/>
  <c r="EE48" i="4" s="1"/>
  <c r="EA52" i="4"/>
  <c r="EE52" i="4" s="1"/>
  <c r="EA21" i="4"/>
  <c r="EE21" i="4" s="1"/>
  <c r="EB26" i="4"/>
  <c r="EF26" i="4" s="1"/>
  <c r="EB55" i="4"/>
  <c r="EF55" i="4" s="1"/>
  <c r="EB32" i="4"/>
  <c r="EF32" i="4" s="1"/>
  <c r="EB38" i="4"/>
  <c r="EF38" i="4" s="1"/>
  <c r="EB40" i="4"/>
  <c r="EF40" i="4" s="1"/>
  <c r="EB28" i="4"/>
  <c r="EF28" i="4" s="1"/>
  <c r="EB34" i="4"/>
  <c r="EF34" i="4" s="1"/>
  <c r="EA18" i="4"/>
  <c r="EE18" i="4" s="1"/>
  <c r="EB29" i="4"/>
  <c r="EF29" i="4" s="1"/>
  <c r="EB37" i="4"/>
  <c r="EF37" i="4" s="1"/>
  <c r="EB17" i="4"/>
  <c r="EF17" i="4" s="1"/>
  <c r="EC19" i="4"/>
  <c r="EG19" i="4" s="1"/>
  <c r="EA22" i="4"/>
  <c r="EE22" i="4" s="1"/>
  <c r="EA36" i="4"/>
  <c r="EE36" i="4" s="1"/>
  <c r="EA38" i="4"/>
  <c r="EE38" i="4" s="1"/>
  <c r="EB48" i="4"/>
  <c r="EF48" i="4" s="1"/>
  <c r="EA50" i="4"/>
  <c r="EE50" i="4" s="1"/>
  <c r="EC46" i="4"/>
  <c r="EG46" i="4" s="1"/>
  <c r="EC49" i="4"/>
  <c r="EG49" i="4" s="1"/>
  <c r="EC26" i="4"/>
  <c r="EG26" i="4" s="1"/>
  <c r="EC34" i="4"/>
  <c r="EG34" i="4" s="1"/>
  <c r="EC11" i="4"/>
  <c r="EG11" i="4" s="1"/>
  <c r="EA30" i="4"/>
  <c r="EE30" i="4" s="1"/>
  <c r="EC24" i="4"/>
  <c r="EG24" i="4" s="1"/>
  <c r="EC32" i="4"/>
  <c r="EG32" i="4" s="1"/>
  <c r="EB12" i="4"/>
  <c r="EF12" i="4" s="1"/>
  <c r="EB14" i="4"/>
  <c r="EF14" i="4" s="1"/>
  <c r="EC20" i="4"/>
  <c r="EG20" i="4" s="1"/>
  <c r="EA42" i="4"/>
  <c r="EE42" i="4" s="1"/>
  <c r="EA45" i="4"/>
  <c r="EE45" i="4" s="1"/>
  <c r="EC54" i="4"/>
  <c r="EG54" i="4" s="1"/>
  <c r="EC13" i="4"/>
  <c r="EG13" i="4" s="1"/>
  <c r="EC14" i="4"/>
  <c r="EG14" i="4" s="1"/>
  <c r="EA17" i="4"/>
  <c r="EE17" i="4" s="1"/>
  <c r="EB22" i="4"/>
  <c r="EF22" i="4" s="1"/>
  <c r="EA29" i="4"/>
  <c r="EE29" i="4" s="1"/>
  <c r="EA35" i="4"/>
  <c r="EE35" i="4" s="1"/>
  <c r="EA37" i="4"/>
  <c r="EE37" i="4" s="1"/>
  <c r="EB47" i="4"/>
  <c r="EF47" i="4" s="1"/>
  <c r="EC48" i="4"/>
  <c r="EG48" i="4" s="1"/>
  <c r="EA28" i="4"/>
  <c r="EE28" i="4" s="1"/>
  <c r="EC16" i="4"/>
  <c r="EG16" i="4" s="1"/>
  <c r="EA27" i="4"/>
  <c r="EE27" i="4" s="1"/>
  <c r="EB41" i="4"/>
  <c r="EF41" i="4" s="1"/>
  <c r="EC42" i="4"/>
  <c r="EG42" i="4" s="1"/>
  <c r="EC47" i="4"/>
  <c r="EG47" i="4" s="1"/>
  <c r="EB51" i="4"/>
  <c r="EF51" i="4" s="1"/>
  <c r="EA53" i="4"/>
  <c r="EE53" i="4" s="1"/>
  <c r="BL15" i="4"/>
  <c r="EC17" i="4"/>
  <c r="EG17" i="4" s="1"/>
  <c r="EB27" i="4"/>
  <c r="EF27" i="4" s="1"/>
  <c r="EB35" i="4"/>
  <c r="EF35" i="4" s="1"/>
  <c r="EC40" i="4"/>
  <c r="EG40" i="4" s="1"/>
  <c r="EB50" i="4"/>
  <c r="EF50" i="4" s="1"/>
  <c r="EC50" i="4"/>
  <c r="EG50" i="4" s="1"/>
  <c r="EB36" i="4"/>
  <c r="EF36" i="4" s="1"/>
  <c r="EC41" i="4"/>
  <c r="EG41" i="4" s="1"/>
  <c r="EA49" i="4"/>
  <c r="EE49" i="4" s="1"/>
  <c r="EB54" i="4"/>
  <c r="EF54" i="4" s="1"/>
  <c r="EA55" i="4"/>
  <c r="EE55" i="4" s="1"/>
  <c r="EA11" i="4"/>
  <c r="EE11" i="4" s="1"/>
  <c r="EA12" i="4"/>
  <c r="EE12" i="4" s="1"/>
  <c r="EA16" i="4"/>
  <c r="EE16" i="4" s="1"/>
  <c r="EC18" i="4"/>
  <c r="EG18" i="4" s="1"/>
  <c r="EA19" i="4"/>
  <c r="EE19" i="4" s="1"/>
  <c r="EA23" i="4"/>
  <c r="EE23" i="4" s="1"/>
  <c r="EB23" i="4"/>
  <c r="EF23" i="4" s="1"/>
  <c r="EA24" i="4"/>
  <c r="EE24" i="4" s="1"/>
  <c r="EC27" i="4"/>
  <c r="EG27" i="4" s="1"/>
  <c r="EC28" i="4"/>
  <c r="EG28" i="4" s="1"/>
  <c r="EB30" i="4"/>
  <c r="EF30" i="4" s="1"/>
  <c r="EA31" i="4"/>
  <c r="EE31" i="4" s="1"/>
  <c r="EB31" i="4"/>
  <c r="EF31" i="4" s="1"/>
  <c r="EA32" i="4"/>
  <c r="EE32" i="4" s="1"/>
  <c r="EC35" i="4"/>
  <c r="EG35" i="4" s="1"/>
  <c r="EC36" i="4"/>
  <c r="EG36" i="4" s="1"/>
  <c r="EA39" i="4"/>
  <c r="EE39" i="4" s="1"/>
  <c r="EB39" i="4"/>
  <c r="EF39" i="4" s="1"/>
  <c r="EA40" i="4"/>
  <c r="EE40" i="4" s="1"/>
  <c r="EB45" i="4"/>
  <c r="EF45" i="4" s="1"/>
  <c r="EC45" i="4"/>
  <c r="EG45" i="4" s="1"/>
  <c r="EB11" i="4"/>
  <c r="EF11" i="4" s="1"/>
  <c r="EB15" i="4"/>
  <c r="EF15" i="4" s="1"/>
  <c r="EB16" i="4"/>
  <c r="EF16" i="4" s="1"/>
  <c r="EB18" i="4"/>
  <c r="EF18" i="4" s="1"/>
  <c r="EA13" i="4"/>
  <c r="EE13" i="4" s="1"/>
  <c r="EB13" i="4"/>
  <c r="EF13" i="4" s="1"/>
  <c r="EA14" i="4"/>
  <c r="EE14" i="4" s="1"/>
  <c r="EA20" i="4"/>
  <c r="EE20" i="4" s="1"/>
  <c r="EB20" i="4"/>
  <c r="EF20" i="4" s="1"/>
  <c r="EC22" i="4"/>
  <c r="EG22" i="4" s="1"/>
  <c r="EA25" i="4"/>
  <c r="EE25" i="4" s="1"/>
  <c r="EB25" i="4"/>
  <c r="EF25" i="4" s="1"/>
  <c r="EA26" i="4"/>
  <c r="EE26" i="4" s="1"/>
  <c r="EC29" i="4"/>
  <c r="EG29" i="4" s="1"/>
  <c r="EC30" i="4"/>
  <c r="EG30" i="4" s="1"/>
  <c r="EA33" i="4"/>
  <c r="EE33" i="4" s="1"/>
  <c r="EB33" i="4"/>
  <c r="EF33" i="4" s="1"/>
  <c r="EA34" i="4"/>
  <c r="EE34" i="4" s="1"/>
  <c r="EC37" i="4"/>
  <c r="EG37" i="4" s="1"/>
  <c r="EC38" i="4"/>
  <c r="EG38" i="4" s="1"/>
  <c r="EA41" i="4"/>
  <c r="EE41" i="4" s="1"/>
  <c r="EB42" i="4"/>
  <c r="EF42" i="4" s="1"/>
  <c r="EC44" i="4"/>
  <c r="EG44" i="4" s="1"/>
  <c r="EA46" i="4"/>
  <c r="EE46" i="4" s="1"/>
  <c r="EB46" i="4"/>
  <c r="EF46" i="4" s="1"/>
  <c r="EA47" i="4"/>
  <c r="EE47" i="4" s="1"/>
  <c r="EB49" i="4"/>
  <c r="EF49" i="4" s="1"/>
  <c r="EA51" i="4"/>
  <c r="EE51" i="4" s="1"/>
  <c r="EC52" i="4"/>
  <c r="EG52" i="4" s="1"/>
  <c r="EB53" i="4"/>
  <c r="EF53" i="4" s="1"/>
  <c r="EC56" i="4"/>
  <c r="EG56" i="4" s="1"/>
  <c r="EA43" i="4"/>
  <c r="EE43" i="4" s="1"/>
  <c r="EA54" i="4"/>
  <c r="EE54" i="4" s="1"/>
  <c r="EB43" i="4"/>
  <c r="EF43" i="4" s="1"/>
  <c r="EB44" i="4"/>
  <c r="EF44" i="4" s="1"/>
  <c r="EA15" i="4" l="1"/>
  <c r="EE1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Shane Wang</author>
    <author>Austin Frank</author>
    <author>Jacob Hurwitz</author>
    <author>Chris Wall</author>
    <author>Michael Ni</author>
    <author>Peter Hoegler</author>
    <author>Bryan Hu</author>
    <author>Marcus Kim</author>
    <author>tc={5A3DD614-7561-4866-9EBB-7244E95ADCC6}</author>
    <author>Julie Lieberman</author>
    <author>tc={1C9C34FE-8599-4C8F-B4B0-53E2215E4B59}</author>
    <author>tc={9F136667-4077-46F2-82B4-5F21ABC1D338}</author>
    <author>tc={FBA68C5F-66F3-4694-8C92-20FACE65E174}</author>
    <author>tc={A3BBE682-F98E-4721-A475-D4CE6805BCF9}</author>
    <author>tc={B25AA11A-5977-443D-A208-D08D2A5A0D5A}</author>
    <author>tc={25084A55-94E7-485D-9F22-38ACF89794D3}</author>
    <author>tc={CBCA1D28-AC37-4E8D-9C6F-1C658F046D62}</author>
    <author>tc={6DF9F18A-88A6-40AA-A1A7-C5F703241D9D}</author>
    <author>tc={9F11137E-B005-4ECF-B5D0-5B3313E18129}</author>
    <author>tc={F56DF8DB-F33E-422B-AB3B-0DDC84B81B64}</author>
    <author>tc={495AC68C-76CE-4A5F-AC17-6A960F7DF79A}</author>
    <author>tc={5C32648C-B34A-4BBA-8F54-8EF0F9282167}</author>
    <author>tc={6ABC68E7-4260-413B-B942-3EBE84FF3A9C}</author>
    <author>tc={44C1B2D4-5CE6-4497-A39D-03AD4366392C}</author>
    <author>tc={1B040394-F5B4-4B67-80E4-9C60FB7CF704}</author>
    <author>tc={2DB18BA8-E3A8-4D16-A783-D1914B6C9F06}</author>
    <author>nstandish</author>
    <author>tc={9C948D39-1D1A-4B2D-A1A2-0868780770D7}</author>
    <author>tc={5D1E3993-589D-4154-84C3-15D1F45EAD07}</author>
    <author>tc={D778C48D-FAC4-431F-83DB-003769CCBA49}</author>
    <author>tc={40AB5597-9341-416E-8E17-6A4436C28343}</author>
    <author>tc={7C0D516B-9CDB-4A6D-B465-2665D302710C}</author>
    <author>tc={2F61EA63-053D-4D51-AE91-C9C78D942FFA}</author>
    <author>tc={6FFB6FF1-67CF-4494-949E-6EF76FB02CDA}</author>
    <author>tc={18D4CE85-9F9E-4737-A67B-ADD67B72F00F}</author>
    <author>tc={10AA0B26-4501-40BB-BB7C-6016C580A2AA}</author>
    <author>tc={2240087C-788B-47E4-B2C6-5261AAA37D7D}</author>
    <author>tc={9634132F-4C8F-4C62-B4A0-EBAD73F5D284}</author>
    <author>tc={3BDE5568-91A9-4825-A001-6027238AE3F2}</author>
    <author>tc={FAC6AD9F-A4A9-485B-8615-A2515A802D53}</author>
    <author>tc={D5B17CBD-1FAB-4F1C-80EF-3C82EC68A7C2}</author>
    <author>tc={7D0DE21C-8B2C-4D4B-A648-2EB1C9332AE0}</author>
    <author>tc={75FF38A0-59D1-462D-BFEB-5A4B57EA7578}</author>
    <author>tc={7BB85EDA-FC6F-4DF4-9ED1-079D6E713A7B}</author>
    <author>tc={678E773A-085B-4DEF-8367-0B87AE0E048A}</author>
    <author>tc={947A9477-708E-4C23-859C-FDF51C306D0E}</author>
    <author>tc={C55DF02B-F8CA-4601-9D8F-C3664A5CDB76}</author>
    <author>tc={E39EE52C-2D17-404C-AA45-B9C7D5FE071A}</author>
    <author>tc={B6EE5A55-66BD-42F8-B8D9-FB172E45EC66}</author>
    <author>tc={2891A668-D6F9-4F9C-BB94-705401DE32F4}</author>
    <author>tc={B8532412-2616-4F7E-BA3F-E26C5602772B}</author>
    <author>tc={401BB3D5-C0FE-4CC2-831C-81232A8EE80D}</author>
    <author>tc={7464AB7E-F430-4B9F-8DD5-931DF1B51BA3}</author>
    <author>tc={D9F3F373-2196-43C0-8F2F-B7C1901F1268}</author>
    <author>tc={B035555B-BC68-4820-90D2-A081ED651FD5}</author>
    <author>tc={36E5C387-1098-44E7-98C1-405C9FEECE4D}</author>
    <author>tc={F4EE1F10-F557-4F8D-ADDD-8AF31E392458}</author>
    <author>Pieter Zwart</author>
    <author>Jack Gross</author>
    <author>tc={5A6D092E-460E-4C8D-ABF7-B57F88F9245B}</author>
    <author>Clara-Ann Joyce</author>
    <author>Wale Akanni</author>
    <author>Tara Mou</author>
  </authors>
  <commentList>
    <comment ref="B10" authorId="0" shapeId="0" xr:uid="{15EE4ECC-54E4-4CA6-8305-0072C641D890}">
      <text>
        <r>
          <rPr>
            <b/>
            <sz val="9"/>
            <color indexed="81"/>
            <rFont val="Tahoma"/>
            <family val="2"/>
          </rPr>
          <t>Use operating revenue from external parties</t>
        </r>
      </text>
    </comment>
    <comment ref="B27" authorId="0" shapeId="0" xr:uid="{3B2F92E7-E098-42F3-B5CA-4EB518B02DAD}">
      <text>
        <r>
          <rPr>
            <b/>
            <sz val="9"/>
            <color indexed="81"/>
            <rFont val="Tahoma"/>
            <family val="2"/>
          </rPr>
          <t xml:space="preserve">From unaffiliated customers </t>
        </r>
        <r>
          <rPr>
            <sz val="9"/>
            <color indexed="81"/>
            <rFont val="Tahoma"/>
            <family val="2"/>
          </rPr>
          <t xml:space="preserve">
</t>
        </r>
      </text>
    </comment>
    <comment ref="Y27" authorId="1" shapeId="0" xr:uid="{4AED0369-AB90-4402-ABEB-AD37B28B5940}">
      <text>
        <r>
          <rPr>
            <sz val="10"/>
            <rFont val="Arial"/>
            <family val="2"/>
          </rPr>
          <t xml:space="preserve">Austin Frank:
2021 10K pg. 5
</t>
        </r>
      </text>
    </comment>
    <comment ref="Z27" authorId="1" shapeId="0" xr:uid="{8387A97C-B9D4-4677-8714-F3248A44270D}">
      <text>
        <r>
          <rPr>
            <sz val="10"/>
            <rFont val="Arial"/>
            <family val="2"/>
          </rPr>
          <t xml:space="preserve">Austin Frank:
2021 10K pg. 5
</t>
        </r>
      </text>
    </comment>
    <comment ref="AA27" authorId="1" shapeId="0" xr:uid="{F25C8E86-E8BF-4BFC-BDBD-08DD13366C68}">
      <text>
        <r>
          <rPr>
            <sz val="10"/>
            <rFont val="Arial"/>
            <family val="2"/>
          </rPr>
          <t xml:space="preserve">Austin Frank:
2021 10K pg. 5
</t>
        </r>
      </text>
    </comment>
    <comment ref="AB27" authorId="1" shapeId="0" xr:uid="{EBC95DD8-BA2A-44B3-A507-E4A28DFFC377}">
      <text>
        <r>
          <rPr>
            <sz val="10"/>
            <rFont val="Arial"/>
            <family val="2"/>
          </rPr>
          <t xml:space="preserve">Austin Frank:
2021 10K pg. 5
</t>
        </r>
      </text>
    </comment>
    <comment ref="AC27" authorId="1" shapeId="0" xr:uid="{B359B084-C01A-4B96-9556-83289CA7CD48}">
      <text>
        <r>
          <rPr>
            <sz val="10"/>
            <rFont val="Arial"/>
            <family val="2"/>
          </rPr>
          <t>Austin Frank:
Excludes affiliated revenues since affiliated revenues were not included in the operating revenue reported in the business segment section.</t>
        </r>
      </text>
    </comment>
    <comment ref="AD27" authorId="1" shapeId="0" xr:uid="{D566802B-06EF-418F-B8DA-59D2917DA223}">
      <text>
        <r>
          <rPr>
            <sz val="10"/>
            <rFont val="Arial"/>
            <family val="2"/>
          </rPr>
          <t>Austin Frank:
Excludes affiliated revenues since affiliated revenues were not included in the operating revenue reported in the business segment section.</t>
        </r>
      </text>
    </comment>
    <comment ref="Y28" authorId="1" shapeId="0" xr:uid="{6BF9959C-803E-4663-A001-9543CC08CDCC}">
      <text>
        <r>
          <rPr>
            <b/>
            <sz val="9"/>
            <color indexed="81"/>
            <rFont val="Tahoma"/>
            <family val="2"/>
          </rPr>
          <t>Austin Frank:</t>
        </r>
        <r>
          <rPr>
            <sz val="9"/>
            <color indexed="81"/>
            <rFont val="Tahoma"/>
            <family val="2"/>
          </rPr>
          <t xml:space="preserve">
2020 !0K pg. 72, PDF page 108</t>
        </r>
      </text>
    </comment>
    <comment ref="Z28" authorId="2" shapeId="0" xr:uid="{380E8D08-BE8E-4975-A77D-655B1DB9A8E9}">
      <text>
        <r>
          <rPr>
            <b/>
            <sz val="9"/>
            <color indexed="81"/>
            <rFont val="Tahoma"/>
            <family val="2"/>
          </rPr>
          <t>Austin Frank:</t>
        </r>
        <r>
          <rPr>
            <sz val="9"/>
            <color indexed="81"/>
            <rFont val="Tahoma"/>
            <family val="2"/>
          </rPr>
          <t xml:space="preserve">
2020 values per pages 3-4 of the 10-K (pdf pages 39-40)</t>
        </r>
      </text>
    </comment>
    <comment ref="AC28" authorId="3" shapeId="0" xr:uid="{77116137-4691-4E89-9A43-46E86031BAFF}">
      <text>
        <r>
          <rPr>
            <b/>
            <sz val="9"/>
            <color indexed="81"/>
            <rFont val="Tahoma"/>
            <family val="2"/>
          </rPr>
          <t>Chris Wall:</t>
        </r>
        <r>
          <rPr>
            <sz val="9"/>
            <color indexed="81"/>
            <rFont val="Tahoma"/>
            <family val="2"/>
          </rPr>
          <t xml:space="preserve">
Excludes affiliated revenues since affiliated revenues were not included in the operating revenue reported in the business segment section.</t>
        </r>
      </text>
    </comment>
    <comment ref="AD28" authorId="3" shapeId="0" xr:uid="{A1C5DC58-C374-4208-A4DB-98FCF0B26D37}">
      <text>
        <r>
          <rPr>
            <b/>
            <sz val="9"/>
            <color indexed="81"/>
            <rFont val="Tahoma"/>
            <family val="2"/>
          </rPr>
          <t>Chris Wall:</t>
        </r>
        <r>
          <rPr>
            <sz val="9"/>
            <color indexed="81"/>
            <rFont val="Tahoma"/>
            <family val="2"/>
          </rPr>
          <t xml:space="preserve">
Excludes affiliated revenues since affiliated revenues were not included in the operating revenue reported in the business segment section.</t>
        </r>
      </text>
    </comment>
    <comment ref="Z31" authorId="1" shapeId="0" xr:uid="{02E5EAC6-5A01-49BF-80EC-1B4952A1BD34}">
      <text>
        <r>
          <rPr>
            <b/>
            <sz val="9"/>
            <color indexed="81"/>
            <rFont val="Tahoma"/>
            <family val="2"/>
          </rPr>
          <t>Austin Frank:</t>
        </r>
        <r>
          <rPr>
            <sz val="9"/>
            <color indexed="81"/>
            <rFont val="Tahoma"/>
            <family val="2"/>
          </rPr>
          <t xml:space="preserve">
2021  10K pg. 4</t>
        </r>
      </text>
    </comment>
    <comment ref="Y32" authorId="1" shapeId="0" xr:uid="{F66178A5-7CDB-4E59-B25D-49D06C66D806}">
      <text>
        <r>
          <rPr>
            <b/>
            <sz val="9"/>
            <color indexed="81"/>
            <rFont val="Tahoma"/>
            <family val="2"/>
          </rPr>
          <t xml:space="preserve">Austin Frank:
</t>
        </r>
        <r>
          <rPr>
            <sz val="9"/>
            <color indexed="81"/>
            <rFont val="Tahoma"/>
            <family val="2"/>
          </rPr>
          <t>PDF pg. 23 (PDF pg 59)</t>
        </r>
      </text>
    </comment>
    <comment ref="Z32" authorId="3" shapeId="0" xr:uid="{5111F8BF-937C-46C4-AE83-E725ED9183CD}">
      <text>
        <r>
          <rPr>
            <b/>
            <sz val="9"/>
            <color indexed="81"/>
            <rFont val="Tahoma"/>
            <family val="2"/>
          </rPr>
          <t>Chris Wall:</t>
        </r>
        <r>
          <rPr>
            <sz val="9"/>
            <color indexed="81"/>
            <rFont val="Tahoma"/>
            <family val="2"/>
          </rPr>
          <t xml:space="preserve">
2020 values per page 2 of the 10-K (pdf page 39)</t>
        </r>
      </text>
    </comment>
    <comment ref="Z35" authorId="3" shapeId="0" xr:uid="{B560C315-6772-4154-AB61-E8206968B6B2}">
      <text>
        <r>
          <rPr>
            <b/>
            <sz val="9"/>
            <color indexed="81"/>
            <rFont val="Tahoma"/>
            <family val="2"/>
          </rPr>
          <t>Austin Frank:</t>
        </r>
        <r>
          <rPr>
            <sz val="9"/>
            <color indexed="81"/>
            <rFont val="Tahoma"/>
            <family val="2"/>
          </rPr>
          <t xml:space="preserve">
2021 values per page 24of the 10-K </t>
        </r>
      </text>
    </comment>
    <comment ref="H42" authorId="4" shapeId="0" xr:uid="{4C49FE29-C940-42F8-94E5-AFEE39386F8B}">
      <text>
        <r>
          <rPr>
            <b/>
            <sz val="9"/>
            <color indexed="81"/>
            <rFont val="Tahoma"/>
            <family val="2"/>
          </rPr>
          <t>Michael Ni:</t>
        </r>
        <r>
          <rPr>
            <sz val="9"/>
            <color indexed="81"/>
            <rFont val="Tahoma"/>
            <family val="2"/>
          </rPr>
          <t xml:space="preserve">
Not split out</t>
        </r>
      </text>
    </comment>
    <comment ref="B44" authorId="5" shapeId="0" xr:uid="{0C38548B-9F36-4D27-A5FA-0157DCA719F9}">
      <text>
        <r>
          <rPr>
            <b/>
            <sz val="9"/>
            <color indexed="81"/>
            <rFont val="Tahoma"/>
            <family val="2"/>
          </rPr>
          <t>Peter Hoegler:</t>
        </r>
        <r>
          <rPr>
            <sz val="9"/>
            <color indexed="81"/>
            <rFont val="Tahoma"/>
            <family val="2"/>
          </rPr>
          <t xml:space="preserve">
Total Operating Revenues</t>
        </r>
      </text>
    </comment>
    <comment ref="H62" authorId="1" shapeId="0" xr:uid="{15225D2F-E535-4209-9986-F249C6C5D419}">
      <text>
        <r>
          <rPr>
            <b/>
            <sz val="9"/>
            <color indexed="81"/>
            <rFont val="Tahoma"/>
            <family val="2"/>
          </rPr>
          <t>Austin Frank:</t>
        </r>
        <r>
          <rPr>
            <sz val="9"/>
            <color indexed="81"/>
            <rFont val="Tahoma"/>
            <family val="2"/>
          </rPr>
          <t xml:space="preserve">
Used "Storage and Transportation" category</t>
        </r>
      </text>
    </comment>
    <comment ref="I64" authorId="6" shapeId="0" xr:uid="{2F6BFD7B-4BCB-4C5A-822A-1A073ECB18BB}">
      <text>
        <r>
          <rPr>
            <b/>
            <sz val="9"/>
            <color indexed="81"/>
            <rFont val="Tahoma"/>
            <family val="2"/>
          </rPr>
          <t>Bryan Hu:</t>
        </r>
        <r>
          <rPr>
            <sz val="9"/>
            <color indexed="81"/>
            <rFont val="Tahoma"/>
            <family val="2"/>
          </rPr>
          <t xml:space="preserve">
Operating Income = Net Income (pg. 54) + Income Taxes (pg. 54) + D&amp;A expense (pg. 128)</t>
        </r>
      </text>
    </comment>
    <comment ref="J64" authorId="7" shapeId="0" xr:uid="{A97328B6-2D1D-46A3-8FEB-36639970F883}">
      <text>
        <r>
          <rPr>
            <b/>
            <sz val="9"/>
            <color indexed="81"/>
            <rFont val="Tahoma"/>
            <family val="2"/>
          </rPr>
          <t>Marcus Kim:</t>
        </r>
        <r>
          <rPr>
            <sz val="9"/>
            <color indexed="81"/>
            <rFont val="Tahoma"/>
            <family val="2"/>
          </rPr>
          <t xml:space="preserve">
Equals Net Income (pg. 36) + Income tax provision (benefit) (Pg. 129) + Interest Expense (Pg. 129) - Interest Income (Pg. 128) - Equity in Earnings (loss) of affiliates (Pg. 129)</t>
        </r>
      </text>
    </comment>
    <comment ref="I65" authorId="7" shapeId="0" xr:uid="{037958E0-BEF9-4F2C-B99C-2EB39ECC919D}">
      <text>
        <r>
          <rPr>
            <b/>
            <sz val="9"/>
            <color indexed="81"/>
            <rFont val="Tahoma"/>
            <family val="2"/>
          </rPr>
          <t>Marcus Kim:</t>
        </r>
        <r>
          <rPr>
            <sz val="9"/>
            <color indexed="81"/>
            <rFont val="Tahoma"/>
            <family val="2"/>
          </rPr>
          <t xml:space="preserve">
Operating Income = Net Income (pg. 54) + Income Taxes (pg. 54) + D&amp;A expense (pg. 129)</t>
        </r>
      </text>
    </comment>
    <comment ref="H66" authorId="3" shapeId="0" xr:uid="{B284FC1D-7FCF-42A6-A316-DFB23721EA0D}">
      <text>
        <r>
          <rPr>
            <b/>
            <sz val="9"/>
            <color indexed="81"/>
            <rFont val="Tahoma"/>
            <family val="2"/>
          </rPr>
          <t>Austin Frank:</t>
        </r>
        <r>
          <rPr>
            <sz val="9"/>
            <color indexed="81"/>
            <rFont val="Tahoma"/>
            <family val="2"/>
          </rPr>
          <t xml:space="preserve">
Equals Net Income + Income Tax Provision + Interest Expense - Other income - Equity in earnings of affiliates  </t>
        </r>
      </text>
    </comment>
    <comment ref="I66" authorId="7" shapeId="0" xr:uid="{F31FA7DE-457F-4AFC-BD52-5DAF00E7F14B}">
      <text>
        <r>
          <rPr>
            <b/>
            <sz val="9"/>
            <color indexed="81"/>
            <rFont val="Tahoma"/>
            <family val="2"/>
          </rPr>
          <t>Marcus Kim:</t>
        </r>
        <r>
          <rPr>
            <sz val="9"/>
            <color indexed="81"/>
            <rFont val="Tahoma"/>
            <family val="2"/>
          </rPr>
          <t xml:space="preserve">
Operating Income = Net Income (pg. 55) + Income Taxes (pg. 55) + D&amp;A expense (pg. 133)</t>
        </r>
      </text>
    </comment>
    <comment ref="J66" authorId="3" shapeId="0" xr:uid="{E3618266-AE2B-4FCA-8774-BE9C62145042}">
      <text>
        <r>
          <rPr>
            <b/>
            <sz val="9"/>
            <color indexed="81"/>
            <rFont val="Tahoma"/>
            <family val="2"/>
          </rPr>
          <t>Austin Frank:</t>
        </r>
        <r>
          <rPr>
            <sz val="9"/>
            <color indexed="81"/>
            <rFont val="Tahoma"/>
            <family val="2"/>
          </rPr>
          <t xml:space="preserve">
Equals Net Income (pg. 37) + Income tax (benefit) provision (Pg. 134) + Interest Expense (Pg. 134) - Interest Income (Pg. 133) - Equity in Earnings of affiliates (Pg. 134)</t>
        </r>
      </text>
    </comment>
    <comment ref="E76" authorId="1" shapeId="0" xr:uid="{3DFFDA5B-707B-4B39-969A-84392D45AF30}">
      <text>
        <r>
          <rPr>
            <b/>
            <sz val="9"/>
            <color indexed="81"/>
            <rFont val="Tahoma"/>
            <family val="2"/>
          </rPr>
          <t>Austin Frank:</t>
        </r>
        <r>
          <rPr>
            <sz val="9"/>
            <color indexed="81"/>
            <rFont val="Tahoma"/>
            <family val="2"/>
          </rPr>
          <t xml:space="preserve">
Operating income is restated to account for impairment charges</t>
        </r>
      </text>
    </comment>
    <comment ref="B78" authorId="5" shapeId="0" xr:uid="{D510C90F-A9B4-45E9-A0F8-08C712B9194F}">
      <text>
        <r>
          <rPr>
            <b/>
            <sz val="9"/>
            <color indexed="81"/>
            <rFont val="Tahoma"/>
            <family val="2"/>
          </rPr>
          <t>Peter Hoegler:</t>
        </r>
        <r>
          <rPr>
            <sz val="9"/>
            <color indexed="81"/>
            <rFont val="Tahoma"/>
            <family val="2"/>
          </rPr>
          <t xml:space="preserve">
Includes both unaffiliated and intersegment revenues</t>
        </r>
      </text>
    </comment>
    <comment ref="E82" authorId="8" shapeId="0" xr:uid="{5A3DD614-7561-4866-9EBB-7244E95ADCC6}">
      <text>
        <t>[Threaded comment]
Your version of Excel allows you to read this threaded comment; however, any edits to it will get removed if the file is opened in a newer version of Excel. Learn more: https://go.microsoft.com/fwlink/?linkid=870924
Comment:
    Plus loss on sale of CMA to ES of $6.8 mill</t>
      </text>
    </comment>
    <comment ref="E83" authorId="1" shapeId="0" xr:uid="{C1745160-AAC1-42CB-B5BB-FBD46B67EAB3}">
      <text>
        <r>
          <rPr>
            <b/>
            <sz val="9"/>
            <color indexed="81"/>
            <rFont val="Tahoma"/>
            <family val="2"/>
          </rPr>
          <t>Austin Frank:</t>
        </r>
        <r>
          <rPr>
            <sz val="9"/>
            <color indexed="81"/>
            <rFont val="Tahoma"/>
            <family val="2"/>
          </rPr>
          <t xml:space="preserve">
+impairment charges (loss on sale of CMA to ES of $412.4 million)</t>
        </r>
      </text>
    </comment>
    <comment ref="G83" authorId="1" shapeId="0" xr:uid="{5AD436E8-99DB-417C-872C-0D14E22CD05C}">
      <text>
        <r>
          <rPr>
            <b/>
            <sz val="9"/>
            <color indexed="81"/>
            <rFont val="Tahoma"/>
            <family val="2"/>
          </rPr>
          <t>Austin Frank:</t>
        </r>
        <r>
          <rPr>
            <sz val="9"/>
            <color indexed="81"/>
            <rFont val="Tahoma"/>
            <family val="2"/>
          </rPr>
          <t xml:space="preserve">
+impairment charges</t>
        </r>
      </text>
    </comment>
    <comment ref="E93" authorId="5" shapeId="0" xr:uid="{F0B3BDA0-7C48-4F32-966F-423866079111}">
      <text>
        <r>
          <rPr>
            <b/>
            <sz val="9"/>
            <color indexed="81"/>
            <rFont val="Tahoma"/>
            <family val="2"/>
          </rPr>
          <t>Peter Hoegler:</t>
        </r>
        <r>
          <rPr>
            <sz val="9"/>
            <color indexed="81"/>
            <rFont val="Tahoma"/>
            <family val="2"/>
          </rPr>
          <t xml:space="preserve">
The NGD segment is a regulated utility principally engaged in the purchase, sale, and delivery of natural gas and related services to customers in Oregon and southwest Washington</t>
        </r>
      </text>
    </comment>
    <comment ref="F93" authorId="5" shapeId="0" xr:uid="{AC12A2C7-3F8D-4A73-98F1-A767C9E1A1B6}">
      <text>
        <r>
          <rPr>
            <b/>
            <sz val="9"/>
            <color indexed="81"/>
            <rFont val="Tahoma"/>
            <family val="2"/>
          </rPr>
          <t>Peter Hoegler:</t>
        </r>
        <r>
          <rPr>
            <sz val="9"/>
            <color indexed="81"/>
            <rFont val="Tahoma"/>
            <family val="2"/>
          </rPr>
          <t xml:space="preserve">
NW Natural activities included in Other includes Interstate
Storage Services and third-party asset management services for the Mist facility in Oregon, appliance retail center operations, and corporate operating and non-operating revenues and expenses that cannot be allocated to NGD operations</t>
        </r>
      </text>
    </comment>
    <comment ref="G93" authorId="5" shapeId="0" xr:uid="{052C925C-AC78-4033-8E69-4615EBABD578}">
      <text>
        <r>
          <rPr>
            <b/>
            <sz val="9"/>
            <color indexed="81"/>
            <rFont val="Tahoma"/>
            <family val="2"/>
          </rPr>
          <t>Peter Hoegler:</t>
        </r>
        <r>
          <rPr>
            <sz val="9"/>
            <color indexed="81"/>
            <rFont val="Tahoma"/>
            <family val="2"/>
          </rPr>
          <t xml:space="preserve">
NW Holdings' activities included in Other includes all remaining activities not associated with NW Natural, specifically NWN Water, which consolidates the water operations and is pursuing other investments in the water sector itself and through its wholly-owned subsidiaries, NWN Gas Storage, a wholly-owned subsidiary of NWN Energy, NWN Energy's equity investment in TWH, which is pursuing development of a cross-Cascades transmission pipeline project (TWP), and other pipeline assets in NNG Financial.</t>
        </r>
      </text>
    </comment>
    <comment ref="B99" authorId="5" shapeId="0" xr:uid="{9B2B1A2D-F32F-4DC5-89BC-55F751186B52}">
      <text>
        <r>
          <rPr>
            <b/>
            <sz val="9"/>
            <color indexed="81"/>
            <rFont val="Tahoma"/>
            <family val="2"/>
          </rPr>
          <t>Peter Hoegler:</t>
        </r>
        <r>
          <rPr>
            <sz val="9"/>
            <color indexed="81"/>
            <rFont val="Tahoma"/>
            <family val="2"/>
          </rPr>
          <t xml:space="preserve">
Income from operations</t>
        </r>
      </text>
    </comment>
    <comment ref="E127" authorId="5" shapeId="0" xr:uid="{97848B83-9909-440C-A00D-DFB017550A7E}">
      <text>
        <r>
          <rPr>
            <b/>
            <sz val="9"/>
            <color indexed="81"/>
            <rFont val="Tahoma"/>
            <family val="2"/>
          </rPr>
          <t>Peter Hoegler:</t>
        </r>
        <r>
          <rPr>
            <sz val="9"/>
            <color indexed="81"/>
            <rFont val="Tahoma"/>
            <family val="2"/>
          </rPr>
          <t xml:space="preserve">
For 2018, Equals sum of SJG Utility Operations, ETG Utility Operations, ELK Utility Operations</t>
        </r>
      </text>
    </comment>
    <comment ref="G127" authorId="1" shapeId="0" xr:uid="{35285CDD-5BE4-499E-A52B-E392B802107E}">
      <text>
        <r>
          <rPr>
            <sz val="10"/>
            <rFont val="Arial"/>
            <family val="2"/>
          </rPr>
          <t xml:space="preserve">Austin Frank:
Category no longer called Retail Electric Operations. Consolidated to Retail Services
</t>
        </r>
      </text>
    </comment>
    <comment ref="J127" authorId="5" shapeId="0" xr:uid="{6139FD2B-A452-454A-80C0-0D8657056865}">
      <text>
        <r>
          <rPr>
            <b/>
            <sz val="9"/>
            <color indexed="81"/>
            <rFont val="Tahoma"/>
            <family val="2"/>
          </rPr>
          <t>Peter Hoegler:</t>
        </r>
        <r>
          <rPr>
            <sz val="9"/>
            <color indexed="81"/>
            <rFont val="Tahoma"/>
            <family val="2"/>
          </rPr>
          <t xml:space="preserve">
Appears in operating income but not revenues in 2018 10K</t>
        </r>
      </text>
    </comment>
    <comment ref="L127" authorId="4" shapeId="0" xr:uid="{444C6E30-1CAC-4D41-86B4-7EFB9EF7801D}">
      <text>
        <r>
          <rPr>
            <b/>
            <sz val="9"/>
            <color indexed="81"/>
            <rFont val="Tahoma"/>
            <family val="2"/>
          </rPr>
          <t>Michael Ni:</t>
        </r>
        <r>
          <rPr>
            <sz val="9"/>
            <color indexed="81"/>
            <rFont val="Tahoma"/>
            <family val="2"/>
          </rPr>
          <t xml:space="preserve">
Not split out</t>
        </r>
      </text>
    </comment>
    <comment ref="M127" authorId="0" shapeId="0" xr:uid="{55372EEA-EA02-4B72-989F-569E7CC35FBB}">
      <text>
        <r>
          <rPr>
            <b/>
            <sz val="9"/>
            <color indexed="81"/>
            <rFont val="Tahoma"/>
            <family val="2"/>
          </rPr>
          <t>Shane Wang:</t>
        </r>
        <r>
          <rPr>
            <sz val="9"/>
            <color indexed="81"/>
            <rFont val="Tahoma"/>
            <family val="2"/>
          </rPr>
          <t xml:space="preserve">
*Note:  In March 2013, one of SJI's subsidiaries, Marina Energy LLC sold all of its assets in its joint venture, LVE Energy Partners LLC, in which it had a 50% equity interest.</t>
        </r>
      </text>
    </comment>
    <comment ref="J162" authorId="6" shapeId="0" xr:uid="{53702261-C727-4864-A896-2C4AAB051516}">
      <text>
        <r>
          <rPr>
            <b/>
            <sz val="9"/>
            <color indexed="81"/>
            <rFont val="Tahoma"/>
            <family val="2"/>
          </rPr>
          <t>Bryan Hu:</t>
        </r>
        <r>
          <rPr>
            <sz val="9"/>
            <color indexed="81"/>
            <rFont val="Tahoma"/>
            <family val="2"/>
          </rPr>
          <t xml:space="preserve">
Data taken from 2020 10-K in instances of data mismatches between 2019/2018 and 2020</t>
        </r>
      </text>
    </comment>
    <comment ref="B164" authorId="0" shapeId="0" xr:uid="{E48C9456-F22B-4951-BB88-359EACD6BE20}">
      <text>
        <r>
          <rPr>
            <b/>
            <sz val="9"/>
            <color indexed="81"/>
            <rFont val="Tahoma"/>
            <family val="2"/>
          </rPr>
          <t xml:space="preserve">Use revenue from external customers only
</t>
        </r>
        <r>
          <rPr>
            <sz val="9"/>
            <color indexed="81"/>
            <rFont val="Tahoma"/>
            <family val="2"/>
          </rPr>
          <t xml:space="preserve">
</t>
        </r>
      </text>
    </comment>
    <comment ref="I180" authorId="9" shapeId="0" xr:uid="{0C74F60F-6A69-43FD-A233-6BD82739860C}">
      <text>
        <r>
          <rPr>
            <b/>
            <sz val="9"/>
            <color indexed="81"/>
            <rFont val="Tahoma"/>
            <family val="2"/>
          </rPr>
          <t>Julie Lieberman:</t>
        </r>
        <r>
          <rPr>
            <sz val="9"/>
            <color indexed="81"/>
            <rFont val="Tahoma"/>
            <family val="2"/>
          </rPr>
          <t xml:space="preserve">
Added adjustment to elimination entry so that sum of segment  operating income agreed to consolidated</t>
        </r>
      </text>
    </comment>
    <comment ref="G183" authorId="10" shapeId="0" xr:uid="{1C9C34FE-8599-4C8F-B4B0-53E2215E4B59}">
      <text>
        <t>[Threaded comment]
Your version of Excel allows you to read this threaded comment; however, any edits to it will get removed if the file is opened in a newer version of Excel. Learn more: https://go.microsoft.com/fwlink/?linkid=870924
Comment:
    ALLETE sold U.S. Water Services in Q1 2019 (2020 10-K pg. 38)</t>
      </text>
    </comment>
    <comment ref="G185" authorId="11" shapeId="0" xr:uid="{9F136667-4077-46F2-82B4-5F21ABC1D338}">
      <text>
        <t>[Threaded comment]
Your version of Excel allows you to read this threaded comment; however, any edits to it will get removed if the file is opened in a newer version of Excel. Learn more: https://go.microsoft.com/fwlink/?linkid=870924
Comment:
    ALLETE sold U.S. Water Services in Q1 2019 (2020 10-K pg. 38)</t>
      </text>
    </comment>
    <comment ref="I185" authorId="6" shapeId="0" xr:uid="{ED95855F-B235-4478-AFE0-412AD0EC749F}">
      <text>
        <r>
          <rPr>
            <b/>
            <sz val="9"/>
            <color indexed="81"/>
            <rFont val="Tahoma"/>
            <family val="2"/>
          </rPr>
          <t>Bryan Hu:</t>
        </r>
        <r>
          <rPr>
            <sz val="9"/>
            <color indexed="81"/>
            <rFont val="Tahoma"/>
            <family val="2"/>
          </rPr>
          <t xml:space="preserve">
hand-entered to match the operating income on PDF pg 93</t>
        </r>
      </text>
    </comment>
    <comment ref="G186" authorId="12" shapeId="0" xr:uid="{FBA68C5F-66F3-4694-8C92-20FACE65E174}">
      <text>
        <t>[Threaded comment]
Your version of Excel allows you to read this threaded comment; however, any edits to it will get removed if the file is opened in a newer version of Excel. Learn more: https://go.microsoft.com/fwlink/?linkid=870924
Comment:
    ALLETE sold U.S. Water Services in Q1 2019 (2020 10-K pg. 38)</t>
      </text>
    </comment>
    <comment ref="H186" authorId="2" shapeId="0" xr:uid="{C567FDE6-95D3-44B4-986C-7536A7B7EAD5}">
      <text>
        <r>
          <rPr>
            <b/>
            <sz val="9"/>
            <color indexed="81"/>
            <rFont val="Tahoma"/>
            <family val="2"/>
          </rPr>
          <t>Jacob Hurwitz:</t>
        </r>
        <r>
          <rPr>
            <sz val="9"/>
            <color indexed="81"/>
            <rFont val="Tahoma"/>
            <family val="2"/>
          </rPr>
          <t xml:space="preserve">
Net Income + Income Tax Expense + Interest Expense</t>
        </r>
      </text>
    </comment>
    <comment ref="I186" authorId="6" shapeId="0" xr:uid="{688B9FCF-81A1-4491-BA50-B1E1A9725A1C}">
      <text>
        <r>
          <rPr>
            <b/>
            <sz val="9"/>
            <color indexed="81"/>
            <rFont val="Tahoma"/>
            <family val="2"/>
          </rPr>
          <t>Bryan Hu:</t>
        </r>
        <r>
          <rPr>
            <sz val="9"/>
            <color indexed="81"/>
            <rFont val="Tahoma"/>
            <family val="2"/>
          </rPr>
          <t xml:space="preserve">
hand-entered to match the operating income on PDF pg 93</t>
        </r>
      </text>
    </comment>
    <comment ref="G187" authorId="13" shapeId="0" xr:uid="{A3BBE682-F98E-4721-A475-D4CE6805BCF9}">
      <text>
        <t>[Threaded comment]
Your version of Excel allows you to read this threaded comment; however, any edits to it will get removed if the file is opened in a newer version of Excel. Learn more: https://go.microsoft.com/fwlink/?linkid=870924
Comment:
    ALLETE sold U.S. Water Services in Q1 2019 (2020 10-K pg. 38)</t>
      </text>
    </comment>
    <comment ref="H187" authorId="2" shapeId="0" xr:uid="{43B00D7B-E083-454C-AA6F-04FF74BDB05D}">
      <text>
        <r>
          <rPr>
            <b/>
            <sz val="9"/>
            <color indexed="81"/>
            <rFont val="Tahoma"/>
            <family val="2"/>
          </rPr>
          <t>Jacob Hurwitz:</t>
        </r>
        <r>
          <rPr>
            <sz val="9"/>
            <color indexed="81"/>
            <rFont val="Tahoma"/>
            <family val="2"/>
          </rPr>
          <t xml:space="preserve">
Net Income + Income Tax Expense + Interest Expense</t>
        </r>
      </text>
    </comment>
    <comment ref="I187" authorId="14" shapeId="0" xr:uid="{B25AA11A-5977-443D-A208-D08D2A5A0D5A}">
      <text>
        <t>[Threaded comment]
Your version of Excel allows you to read this threaded comment; however, any edits to it will get removed if the file is opened in a newer version of Excel. Learn more: https://go.microsoft.com/fwlink/?linkid=870924
Comment:
    hand-entered to match the operating income on PDF pg 94</t>
      </text>
    </comment>
    <comment ref="E215" authorId="6" shapeId="0" xr:uid="{D4A75C7D-A24C-4457-ACB2-996745D6D13B}">
      <text>
        <r>
          <rPr>
            <b/>
            <sz val="9"/>
            <color indexed="81"/>
            <rFont val="Tahoma"/>
            <family val="2"/>
          </rPr>
          <t>Bryan Hu:</t>
        </r>
        <r>
          <rPr>
            <sz val="9"/>
            <color indexed="81"/>
            <rFont val="Tahoma"/>
            <family val="2"/>
          </rPr>
          <t xml:space="preserve">
Segment was "Ameren Missouri Electric" in 2020 and prior. Consolidated with gas starting in 2021</t>
        </r>
      </text>
    </comment>
    <comment ref="F215" authorId="6" shapeId="0" xr:uid="{F93F7CF0-C08B-43FD-B316-817179587A2E}">
      <text>
        <r>
          <rPr>
            <b/>
            <sz val="9"/>
            <color indexed="81"/>
            <rFont val="Tahoma"/>
            <family val="2"/>
          </rPr>
          <t>Bryan Hu:</t>
        </r>
        <r>
          <rPr>
            <sz val="9"/>
            <color indexed="81"/>
            <rFont val="Tahoma"/>
            <family val="2"/>
          </rPr>
          <t xml:space="preserve">
Ameren Missouri Natural Gas consolidated into Ameren Missouri starting in 2021</t>
        </r>
      </text>
    </comment>
    <comment ref="F216" authorId="6" shapeId="0" xr:uid="{A0EC468F-03D4-47E7-95A8-02311C30853F}">
      <text>
        <r>
          <rPr>
            <b/>
            <sz val="9"/>
            <color indexed="81"/>
            <rFont val="Tahoma"/>
            <family val="2"/>
          </rPr>
          <t>Bryan Hu:</t>
        </r>
        <r>
          <rPr>
            <sz val="9"/>
            <color indexed="81"/>
            <rFont val="Tahoma"/>
            <family val="2"/>
          </rPr>
          <t xml:space="preserve">
Ameren Missouri Natural Gas consolidated into Ameren Missouri starting in 2021</t>
        </r>
      </text>
    </comment>
    <comment ref="F217" authorId="6" shapeId="0" xr:uid="{7A650445-8305-4315-841B-760FF2E79B98}">
      <text>
        <r>
          <rPr>
            <b/>
            <sz val="9"/>
            <color indexed="81"/>
            <rFont val="Tahoma"/>
            <family val="2"/>
          </rPr>
          <t>Bryan Hu:</t>
        </r>
        <r>
          <rPr>
            <sz val="9"/>
            <color indexed="81"/>
            <rFont val="Tahoma"/>
            <family val="2"/>
          </rPr>
          <t xml:space="preserve">
Ameren Missouri Natural Gas consolidated into Ameren Missouri starting in 2021</t>
        </r>
      </text>
    </comment>
    <comment ref="H218" authorId="15" shapeId="0" xr:uid="{25084A55-94E7-485D-9F22-38ACF89794D3}">
      <text>
        <t>[Threaded comment]
Your version of Excel allows you to read this threaded comment; however, any edits to it will get removed if the file is opened in a newer version of Excel. Learn more: https://go.microsoft.com/fwlink/?linkid=870924
Comment:
    Updated 2020 values to align with 2022 10-K</t>
      </text>
    </comment>
    <comment ref="I218" authorId="16" shapeId="0" xr:uid="{CBCA1D28-AC37-4E8D-9C6F-1C658F046D62}">
      <text>
        <t>[Threaded comment]
Your version of Excel allows you to read this threaded comment; however, any edits to it will get removed if the file is opened in a newer version of Excel. Learn more: https://go.microsoft.com/fwlink/?linkid=870924
Comment:
    2020 value adjusted based on 2022 10-k</t>
      </text>
    </comment>
    <comment ref="E222" authorId="5" shapeId="0" xr:uid="{6F042DED-894A-4DFE-8060-08C0BD02B372}">
      <text>
        <r>
          <rPr>
            <b/>
            <sz val="9"/>
            <color indexed="81"/>
            <rFont val="Tahoma"/>
            <family val="2"/>
          </rPr>
          <t>Peter Hoegler:</t>
        </r>
        <r>
          <rPr>
            <sz val="9"/>
            <color indexed="81"/>
            <rFont val="Tahoma"/>
            <family val="2"/>
          </rPr>
          <t xml:space="preserve">
Total of Ameren Missouri</t>
        </r>
      </text>
    </comment>
    <comment ref="H222" authorId="5" shapeId="0" xr:uid="{1ACCD086-B7DE-44AA-BF88-51B0A986AD33}">
      <text>
        <r>
          <rPr>
            <b/>
            <sz val="9"/>
            <color indexed="81"/>
            <rFont val="Tahoma"/>
            <family val="2"/>
          </rPr>
          <t>Peter Hoegler:</t>
        </r>
        <r>
          <rPr>
            <sz val="9"/>
            <color indexed="81"/>
            <rFont val="Tahoma"/>
            <family val="2"/>
          </rPr>
          <t xml:space="preserve">
= Net Income + Income Taxes + Interest Charges + Other Expense (subtract other income)</t>
        </r>
      </text>
    </comment>
    <comment ref="I222" authorId="5" shapeId="0" xr:uid="{FFD70359-5BA6-49A6-A222-175593C7F5D3}">
      <text>
        <r>
          <rPr>
            <b/>
            <sz val="9"/>
            <color indexed="81"/>
            <rFont val="Tahoma"/>
            <family val="2"/>
          </rPr>
          <t>Peter Hoegler:</t>
        </r>
        <r>
          <rPr>
            <sz val="9"/>
            <color indexed="81"/>
            <rFont val="Tahoma"/>
            <family val="2"/>
          </rPr>
          <t xml:space="preserve">
= Net Income + Income Taxes + Interest Charges + Other Expense (subtract other income)</t>
        </r>
      </text>
    </comment>
    <comment ref="J222" authorId="5" shapeId="0" xr:uid="{1AC84CDE-63B6-4B28-8804-AA01520ABACE}">
      <text>
        <r>
          <rPr>
            <b/>
            <sz val="9"/>
            <color indexed="81"/>
            <rFont val="Tahoma"/>
            <family val="2"/>
          </rPr>
          <t>Peter Hoegler:</t>
        </r>
        <r>
          <rPr>
            <sz val="9"/>
            <color indexed="81"/>
            <rFont val="Tahoma"/>
            <family val="2"/>
          </rPr>
          <t xml:space="preserve">
= Net Income + Income Taxes + Interest Charges + Other Expense (subtract other income)</t>
        </r>
      </text>
    </comment>
    <comment ref="E224" authorId="17" shapeId="0" xr:uid="{6DF9F18A-88A6-40AA-A1A7-C5F703241D9D}">
      <text>
        <t>[Threaded comment]
Your version of Excel allows you to read this threaded comment; however, any edits to it will get removed if the file is opened in a newer version of Excel. Learn more: https://go.microsoft.com/fwlink/?linkid=870924
Comment:
    Electric generation segments + Electric distribution</t>
      </text>
    </comment>
    <comment ref="J224" authorId="6" shapeId="0" xr:uid="{2EE0E9C6-2063-4639-B943-FF7C52B45996}">
      <text>
        <r>
          <rPr>
            <b/>
            <sz val="9"/>
            <color indexed="81"/>
            <rFont val="Tahoma"/>
            <family val="2"/>
          </rPr>
          <t>Bryan Hu:</t>
        </r>
        <r>
          <rPr>
            <sz val="9"/>
            <color indexed="81"/>
            <rFont val="Tahoma"/>
            <family val="2"/>
          </rPr>
          <t xml:space="preserve">
Ameren Illinois Transmission + Other Transmission</t>
        </r>
      </text>
    </comment>
    <comment ref="B225" authorId="0" shapeId="0" xr:uid="{848AB6C4-2F54-4DB6-9A27-F68C1D72688E}">
      <text>
        <r>
          <rPr>
            <sz val="9"/>
            <color indexed="81"/>
            <rFont val="Tahoma"/>
            <family val="2"/>
          </rPr>
          <t>Use Note 3 - Property, Plant and Equipment, 
Used original cost of property because it's broken out in the most helpful way - this is only used to determine the "% Regulated", and the vast majority of Ameren is regulated either way.  May need to revisit if Ameren has a material change in business operations.</t>
        </r>
      </text>
    </comment>
    <comment ref="E225" authorId="18" shapeId="0" xr:uid="{9F11137E-B005-4ECF-B5D0-5B3313E18129}">
      <text>
        <t>[Threaded comment]
Your version of Excel allows you to read this threaded comment; however, any edits to it will get removed if the file is opened in a newer version of Excel. Learn more: https://go.microsoft.com/fwlink/?linkid=870924
Comment:
    Electric generation segments + Electric distribution</t>
      </text>
    </comment>
    <comment ref="J225" authorId="6" shapeId="0" xr:uid="{9B9FA291-8272-4171-B87A-0DB6FB4049D2}">
      <text>
        <r>
          <rPr>
            <b/>
            <sz val="9"/>
            <color indexed="81"/>
            <rFont val="Tahoma"/>
            <family val="2"/>
          </rPr>
          <t>Bryan Hu:</t>
        </r>
        <r>
          <rPr>
            <sz val="9"/>
            <color indexed="81"/>
            <rFont val="Tahoma"/>
            <family val="2"/>
          </rPr>
          <t xml:space="preserve">
Ameren Illinois Transmission + Other Transmission</t>
        </r>
      </text>
    </comment>
    <comment ref="E226" authorId="19" shapeId="0" xr:uid="{F56DF8DB-F33E-422B-AB3B-0DDC84B81B64}">
      <text>
        <t>[Threaded comment]
Your version of Excel allows you to read this threaded comment; however, any edits to it will get removed if the file is opened in a newer version of Excel. Learn more: https://go.microsoft.com/fwlink/?linkid=870924
Comment:
    Electric generation segments + Electric distribution</t>
      </text>
    </comment>
    <comment ref="I238" authorId="20" shapeId="0" xr:uid="{495AC68C-76CE-4A5F-AC17-6A960F7DF79A}">
      <text>
        <t>[Threaded comment]
Your version of Excel allows you to read this threaded comment; however, any edits to it will get removed if the file is opened in a newer version of Excel. Learn more: https://go.microsoft.com/fwlink/?linkid=870924
Comment:
    Net income + Income tax expense + Interest expense</t>
      </text>
    </comment>
    <comment ref="I239" authorId="21" shapeId="0" xr:uid="{5C32648C-B34A-4BBA-8F54-8EF0F9282167}">
      <text>
        <t>[Threaded comment]
Your version of Excel allows you to read this threaded comment; however, any edits to it will get removed if the file is opened in a newer version of Excel. Learn more: https://go.microsoft.com/fwlink/?linkid=870924
Comment:
    Net income + Income tax expense + Interest expense</t>
      </text>
    </comment>
    <comment ref="I240" authorId="22" shapeId="0" xr:uid="{6ABC68E7-4260-413B-B942-3EBE84FF3A9C}">
      <text>
        <t>[Threaded comment]
Your version of Excel allows you to read this threaded comment; however, any edits to it will get removed if the file is opened in a newer version of Excel. Learn more: https://go.microsoft.com/fwlink/?linkid=870924
Comment:
    Net income + Income tax expense + Interest expense</t>
      </text>
    </comment>
    <comment ref="B252" authorId="23" shapeId="0" xr:uid="{44C1B2D4-5CE6-4497-A39D-03AD4366392C}">
      <text>
        <t>[Threaded comment]
Your version of Excel allows you to read this threaded comment; however, any edits to it will get removed if the file is opened in a newer version of Excel. Learn more: https://go.microsoft.com/fwlink/?linkid=870924
Comment:
    2018 and 2019 numbers adjusted to reflect "various immaterial corrections to prior periods" identified in the 2020 10-K</t>
      </text>
    </comment>
    <comment ref="B256" authorId="24" shapeId="0" xr:uid="{1B040394-F5B4-4B67-80E4-9C60FB7CF704}">
      <text>
        <t>[Threaded comment]
Your version of Excel allows you to read this threaded comment; however, any edits to it will get removed if the file is opened in a newer version of Excel. Learn more: https://go.microsoft.com/fwlink/?linkid=870924
Comment:
    2018 and 2019 numbers adjusted to reflect "various immaterial corrections to prior periods" identified in the 2020 10-K</t>
      </text>
    </comment>
    <comment ref="B260" authorId="25" shapeId="0" xr:uid="{2DB18BA8-E3A8-4D16-A783-D1914B6C9F06}">
      <text>
        <t>[Threaded comment]
Your version of Excel allows you to read this threaded comment; however, any edits to it will get removed if the file is opened in a newer version of Excel. Learn more: https://go.microsoft.com/fwlink/?linkid=870924
Comment:
    2018 and 2019 numbers adjusted to reflect "various immaterial corrections to prior periods" identified in the 2020 10-K</t>
      </text>
    </comment>
    <comment ref="E284" authorId="6" shapeId="0" xr:uid="{4931533D-05F3-4550-836E-E8BF73FCEA3D}">
      <text>
        <r>
          <rPr>
            <b/>
            <sz val="9"/>
            <color indexed="81"/>
            <rFont val="Tahoma"/>
            <family val="2"/>
          </rPr>
          <t>Bryan Hu:</t>
        </r>
        <r>
          <rPr>
            <sz val="9"/>
            <color indexed="81"/>
            <rFont val="Tahoma"/>
            <family val="2"/>
          </rPr>
          <t xml:space="preserve">
Includes Power Generation &amp; Mining segments starting in 2021</t>
        </r>
      </text>
    </comment>
    <comment ref="G284" authorId="6" shapeId="0" xr:uid="{82412908-52B9-47F5-917A-6912B74F7674}">
      <text>
        <r>
          <rPr>
            <b/>
            <sz val="9"/>
            <color indexed="81"/>
            <rFont val="Tahoma"/>
            <family val="2"/>
          </rPr>
          <t>Bryan Hu:</t>
        </r>
        <r>
          <rPr>
            <sz val="9"/>
            <color indexed="81"/>
            <rFont val="Tahoma"/>
            <family val="2"/>
          </rPr>
          <t xml:space="preserve">
Consolidated with Electric Utilities segment starting in 2021</t>
        </r>
      </text>
    </comment>
    <comment ref="H284" authorId="6" shapeId="0" xr:uid="{B227F3CC-367C-4FF9-B85A-33311CF27D0B}">
      <text>
        <r>
          <rPr>
            <b/>
            <sz val="9"/>
            <color indexed="81"/>
            <rFont val="Tahoma"/>
            <family val="2"/>
          </rPr>
          <t>Bryan Hu:</t>
        </r>
        <r>
          <rPr>
            <sz val="9"/>
            <color indexed="81"/>
            <rFont val="Tahoma"/>
            <family val="2"/>
          </rPr>
          <t xml:space="preserve">
Consolidated with Electric Utilities segment starting in 2021</t>
        </r>
      </text>
    </comment>
    <comment ref="A301" authorId="6" shapeId="0" xr:uid="{798AB115-29E8-4AF3-96FB-A0D5329DFA2D}">
      <text>
        <r>
          <rPr>
            <b/>
            <sz val="9"/>
            <color indexed="81"/>
            <rFont val="Tahoma"/>
            <family val="2"/>
          </rPr>
          <t>Bryan Hu:</t>
        </r>
        <r>
          <rPr>
            <sz val="9"/>
            <color indexed="81"/>
            <rFont val="Tahoma"/>
            <family val="2"/>
          </rPr>
          <t xml:space="preserve">
As of December 31, 2021, CenterPoint Energy’s reportable segments were Electric and Natural Gas.</t>
        </r>
      </text>
    </comment>
    <comment ref="A318" authorId="6" shapeId="0" xr:uid="{4381FBDF-403A-4CA9-926C-9698BCCC63E3}">
      <text>
        <r>
          <rPr>
            <b/>
            <sz val="9"/>
            <color indexed="81"/>
            <rFont val="Tahoma"/>
            <family val="2"/>
          </rPr>
          <t>Bryan Hu:</t>
        </r>
        <r>
          <rPr>
            <sz val="9"/>
            <color indexed="81"/>
            <rFont val="Tahoma"/>
            <family val="2"/>
          </rPr>
          <t xml:space="preserve">
2021: CMS Energy manages its businesses by the nature of services each provides, and operates principally in three business segments: electric utility; gas utility; and enterprises, its non‑utility operations and investments.</t>
        </r>
      </text>
    </comment>
    <comment ref="B324" authorId="26" shapeId="0" xr:uid="{C475D398-B106-4F71-802F-EF70291FF653}">
      <text>
        <r>
          <rPr>
            <b/>
            <sz val="9"/>
            <color indexed="81"/>
            <rFont val="Tahoma"/>
            <family val="2"/>
          </rPr>
          <t xml:space="preserve">= </t>
        </r>
        <r>
          <rPr>
            <sz val="9"/>
            <color indexed="81"/>
            <rFont val="Tahoma"/>
            <family val="2"/>
          </rPr>
          <t>Net Income + Income Tax Expense + Interest Charges - Income from Equity Method Investees</t>
        </r>
      </text>
    </comment>
    <comment ref="M337" authorId="2" shapeId="0" xr:uid="{EEA340EE-7115-4AED-AF8B-E02C7FC0C289}">
      <text>
        <r>
          <rPr>
            <b/>
            <sz val="9"/>
            <color indexed="81"/>
            <rFont val="Tahoma"/>
            <family val="2"/>
          </rPr>
          <t>Jacob Hurwitz:</t>
        </r>
        <r>
          <rPr>
            <sz val="9"/>
            <color indexed="81"/>
            <rFont val="Tahoma"/>
            <family val="2"/>
          </rPr>
          <t xml:space="preserve">
Includes Con Edison Transmission</t>
        </r>
      </text>
    </comment>
    <comment ref="I353" authorId="6" shapeId="0" xr:uid="{F157A54F-D9D8-443E-904C-C245665F7226}">
      <text>
        <r>
          <rPr>
            <b/>
            <sz val="9"/>
            <color indexed="81"/>
            <rFont val="Tahoma"/>
            <family val="2"/>
          </rPr>
          <t>Bryan Hu:</t>
        </r>
        <r>
          <rPr>
            <sz val="9"/>
            <color indexed="81"/>
            <rFont val="Tahoma"/>
            <family val="2"/>
          </rPr>
          <t xml:space="preserve">
Previously called "Contracted Generation" in 2019 and prior</t>
        </r>
      </text>
    </comment>
    <comment ref="B359" authorId="26" shapeId="0" xr:uid="{EFBF2F13-93FF-4E02-BBA0-F4C569B943C9}">
      <text>
        <r>
          <rPr>
            <sz val="9"/>
            <color indexed="81"/>
            <rFont val="Tahoma"/>
            <family val="2"/>
          </rPr>
          <t>Net income + Income taxes + Interest and related charges - Interest income - Equity in earnings of equity method investees</t>
        </r>
      </text>
    </comment>
    <comment ref="E370" authorId="5" shapeId="0" xr:uid="{4F72FFE8-A8FC-4114-AECA-DFD99CC03767}">
      <text>
        <r>
          <rPr>
            <b/>
            <sz val="9"/>
            <color indexed="81"/>
            <rFont val="Tahoma"/>
            <family val="2"/>
          </rPr>
          <t>Peter Hoegler:</t>
        </r>
        <r>
          <rPr>
            <sz val="9"/>
            <color indexed="81"/>
            <rFont val="Tahoma"/>
            <family val="2"/>
          </rPr>
          <t xml:space="preserve">
Sum of utility and non-utility operations</t>
        </r>
      </text>
    </comment>
    <comment ref="G370" authorId="27" shapeId="0" xr:uid="{9C948D39-1D1A-4B2D-A1A2-0868780770D7}">
      <text>
        <t xml:space="preserve">[Threaded comment]
Your version of Excel allows you to read this threaded comment; however, any edits to it will get removed if the file is opened in a newer version of Excel. Learn more: https://go.microsoft.com/fwlink/?linkid=870924
Comment:
    "DT Midstream Inc., formerly DTE Energy's natural gas pipeline, storage, and gathering non-utility business compromising the Gas Storage and Pipelines segment and certain DTE Energy holding company activity in the Corporate and Other segment, separated from DTE Energy and became an independent public company on July 1, 2021" </t>
      </text>
    </comment>
    <comment ref="H370" authorId="28" shapeId="0" xr:uid="{5D1E3993-589D-4154-84C3-15D1F45EAD07}">
      <text>
        <t>[Threaded comment]
Your version of Excel allows you to read this threaded comment; however, any edits to it will get removed if the file is opened in a newer version of Excel. Learn more: https://go.microsoft.com/fwlink/?linkid=870924
Comment:
    Formerly Power and Industrial Projects</t>
      </text>
    </comment>
    <comment ref="K370" authorId="5" shapeId="0" xr:uid="{C589E641-3190-4601-B3E4-245A4FAEEF10}">
      <text>
        <r>
          <rPr>
            <b/>
            <sz val="9"/>
            <color indexed="81"/>
            <rFont val="Tahoma"/>
            <family val="2"/>
          </rPr>
          <t>Peter Hoegler:</t>
        </r>
        <r>
          <rPr>
            <sz val="9"/>
            <color indexed="81"/>
            <rFont val="Tahoma"/>
            <family val="2"/>
          </rPr>
          <t xml:space="preserve">
Sum of utility and non-utility operations</t>
        </r>
      </text>
    </comment>
    <comment ref="K375" authorId="29" shapeId="0" xr:uid="{D778C48D-FAC4-431F-83DB-003769CCBA49}">
      <text>
        <t>[Threaded comment]
Your version of Excel allows you to read this threaded comment; however, any edits to it will get removed if the file is opened in a newer version of Excel. Learn more: https://go.microsoft.com/fwlink/?linkid=870924
Comment:
    Plugged to match operating income as presented on PDF pg 60</t>
      </text>
    </comment>
    <comment ref="K376" authorId="30" shapeId="0" xr:uid="{40AB5597-9341-416E-8E17-6A4436C28343}">
      <text>
        <t>[Threaded comment]
Your version of Excel allows you to read this threaded comment; however, any edits to it will get removed if the file is opened in a newer version of Excel. Learn more: https://go.microsoft.com/fwlink/?linkid=870924
Comment:
    Plugged to match total operating income on pg. 149</t>
      </text>
    </comment>
    <comment ref="K381" authorId="31" shapeId="0" xr:uid="{7C0D516B-9CDB-4A6D-B465-2665D302710C}">
      <text>
        <t>[Threaded comment]
Your version of Excel allows you to read this threaded comment; however, any edits to it will get removed if the file is opened in a newer version of Excel. Learn more: https://go.microsoft.com/fwlink/?linkid=870924
Comment:
    Includes adjustment for Discontinued Operations</t>
      </text>
    </comment>
    <comment ref="G387" authorId="6" shapeId="0" xr:uid="{91E18B6F-9FF3-44E4-99EA-9520A7E148D7}">
      <text>
        <r>
          <rPr>
            <b/>
            <sz val="9"/>
            <color indexed="81"/>
            <rFont val="Tahoma"/>
            <family val="2"/>
          </rPr>
          <t>Bryan Hu:</t>
        </r>
        <r>
          <rPr>
            <sz val="9"/>
            <color indexed="81"/>
            <rFont val="Tahoma"/>
            <family val="2"/>
          </rPr>
          <t xml:space="preserve">
"Commercial Renewables is reported as discontinued operations
and is no longer a reportable segment beginning in the fourth quarter of 2022."</t>
        </r>
      </text>
    </comment>
    <comment ref="G392" authorId="32" shapeId="0" xr:uid="{2F61EA63-053D-4D51-AE91-C9C78D942FFA}">
      <text>
        <t>[Threaded comment]
Your version of Excel allows you to read this threaded comment; however, any edits to it will get removed if the file is opened in a newer version of Excel. Learn more: https://go.microsoft.com/fwlink/?linkid=870924
Comment:
    Results of the Commercial Renewables Disposal Groups are included in the loss from Discontinued Operations, net of tax in Duke energy's consolidated statements of Operations. (1,323) was removed to reflect current state of operations</t>
      </text>
    </comment>
    <comment ref="I392" authorId="33" shapeId="0" xr:uid="{6FFB6FF1-67CF-4494-949E-6EF76FB02CDA}">
      <text>
        <t>[Threaded comment]
Your version of Excel allows you to read this threaded comment; however, any edits to it will get removed if the file is opened in a newer version of Excel. Learn more: https://go.microsoft.com/fwlink/?linkid=870924
Comment:
    Plugged to match operating income as reported on PDF page 113</t>
      </text>
    </comment>
    <comment ref="G393" authorId="34" shapeId="0" xr:uid="{18D4CE85-9F9E-4737-A67B-ADD67B72F00F}">
      <text>
        <t>[Threaded comment]
Your version of Excel allows you to read this threaded comment; however, any edits to it will get removed if the file is opened in a newer version of Excel. Learn more: https://go.microsoft.com/fwlink/?linkid=870924
Comment:
     (144) was removed to reflect current state of operations</t>
      </text>
    </comment>
    <comment ref="I393" authorId="35" shapeId="0" xr:uid="{10AA0B26-4501-40BB-BB7C-6016C580A2AA}">
      <text>
        <t>[Threaded comment]
Your version of Excel allows you to read this threaded comment; however, any edits to it will get removed if the file is opened in a newer version of Excel. Learn more: https://go.microsoft.com/fwlink/?linkid=870924
Comment:
    Plugged to match total Operating Income on pg. 75</t>
      </text>
    </comment>
    <comment ref="G394" authorId="36" shapeId="0" xr:uid="{2240087C-788B-47E4-B2C6-5261AAA37D7D}">
      <text>
        <t>[Threaded comment]
Your version of Excel allows you to read this threaded comment; however, any edits to it will get removed if the file is opened in a newer version of Excel. Learn more: https://go.microsoft.com/fwlink/?linkid=870924
Comment:
     (16) was removed to reflect current state of operations</t>
      </text>
    </comment>
    <comment ref="G397" authorId="37" shapeId="0" xr:uid="{9634132F-4C8F-4C62-B4A0-EBAD73F5D284}">
      <text>
        <t xml:space="preserve">[Threaded comment]
Your version of Excel allows you to read this threaded comment; however, any edits to it will get removed if the file is opened in a newer version of Excel. Learn more: https://go.microsoft.com/fwlink/?linkid=870924
Comment:
    6,977 was removed to reflect current state of operations
</t>
      </text>
    </comment>
    <comment ref="G398" authorId="38" shapeId="0" xr:uid="{3BDE5568-91A9-4825-A001-6027238AE3F2}">
      <text>
        <t>[Threaded comment]
Your version of Excel allows you to read this threaded comment; however, any edits to it will get removed if the file is opened in a newer version of Excel. Learn more: https://go.microsoft.com/fwlink/?linkid=870924
Comment:
    6,716 was removed to reflect current state of operations</t>
      </text>
    </comment>
    <comment ref="F405" authorId="39" shapeId="0" xr:uid="{FAC6AD9F-A4A9-485B-8615-A2515A802D53}">
      <text>
        <t>[Threaded comment]
Your version of Excel allows you to read this threaded comment; however, any edits to it will get removed if the file is opened in a newer version of Excel. Learn more: https://go.microsoft.com/fwlink/?linkid=870924
Comment:
    Plugged to match total operating revenue as reported on PDF page 129</t>
      </text>
    </comment>
    <comment ref="F406" authorId="40" shapeId="0" xr:uid="{D5B17CBD-1FAB-4F1C-80EF-3C82EC68A7C2}">
      <text>
        <t>[Threaded comment]
Your version of Excel allows you to read this threaded comment; however, any edits to it will get removed if the file is opened in a newer version of Excel. Learn more: https://go.microsoft.com/fwlink/?linkid=870924
Comment:
    Plugged to match the total operating revenue number on pg. 62</t>
      </text>
    </comment>
    <comment ref="F409" authorId="41" shapeId="0" xr:uid="{7D0DE21C-8B2C-4D4B-A648-2EB1C9332AE0}">
      <text>
        <t>[Threaded comment]
Your version of Excel allows you to read this threaded comment; however, any edits to it will get removed if the file is opened in a newer version of Excel. Learn more: https://go.microsoft.com/fwlink/?linkid=870924
Comment:
    Plugged to match operating income as reported in PDF page 129</t>
      </text>
    </comment>
    <comment ref="F410" authorId="42" shapeId="0" xr:uid="{75FF38A0-59D1-462D-BFEB-5A4B57EA7578}">
      <text>
        <t>[Threaded comment]
Your version of Excel allows you to read this threaded comment; however, any edits to it will get removed if the file is opened in a newer version of Excel. Learn more: https://go.microsoft.com/fwlink/?linkid=870924
Comment:
    Plugged to match the operating income number on pg. 62</t>
      </text>
    </comment>
    <comment ref="F414" authorId="43" shapeId="0" xr:uid="{7BB85EDA-FC6F-4DF4-9ED1-079D6E713A7B}">
      <text>
        <t>[Threaded comment]
Your version of Excel allows you to read this threaded comment; however, any edits to it will get removed if the file is opened in a newer version of Excel. Learn more: https://go.microsoft.com/fwlink/?linkid=870924
Comment:
    Plugged to match the total assets number on pg. 64</t>
      </text>
    </comment>
    <comment ref="B427" authorId="9" shapeId="0" xr:uid="{937844B8-6443-4F78-9C7B-4A278EF35ED8}">
      <text>
        <r>
          <rPr>
            <sz val="9"/>
            <color indexed="81"/>
            <rFont val="Tahoma"/>
            <family val="2"/>
          </rPr>
          <t>= Net Income + Income Taxes + Interest Expense - Interest and Investment Income</t>
        </r>
      </text>
    </comment>
    <comment ref="E470" authorId="44" shapeId="0" xr:uid="{678E773A-085B-4DEF-8367-0B87AE0E048A}">
      <text>
        <t>[Threaded comment]
Your version of Excel allows you to read this threaded comment; however, any edits to it will get removed if the file is opened in a newer version of Excel. Learn more: https://go.microsoft.com/fwlink/?linkid=870924
Comment:
    Constellation Energy Generation, LLC (formerly Exelon Generation Company, LLC) a subsidiary of Exelon as of December 31, 2021 prior to separation on February 1, 2022</t>
      </text>
    </comment>
    <comment ref="E472" authorId="45" shapeId="0" xr:uid="{947A9477-708E-4C23-859C-FDF51C306D0E}">
      <text>
        <t>[Threaded comment]
Your version of Excel allows you to read this threaded comment; however, any edits to it will get removed if the file is opened in a newer version of Excel. Learn more: https://go.microsoft.com/fwlink/?linkid=870924
Comment:
    19,649 removed</t>
      </text>
    </comment>
    <comment ref="E473" authorId="46" shapeId="0" xr:uid="{C55DF02B-F8CA-4601-9D8F-C3664A5CDB76}">
      <text>
        <t>[Threaded comment]
Your version of Excel allows you to read this threaded comment; however, any edits to it will get removed if the file is opened in a newer version of Excel. Learn more: https://go.microsoft.com/fwlink/?linkid=870924
Comment:
    17,603 removed</t>
      </text>
    </comment>
    <comment ref="I475" authorId="47" shapeId="0" xr:uid="{E39EE52C-2D17-404C-AA45-B9C7D5FE071A}">
      <text>
        <t>[Threaded comment]
Your version of Excel allows you to read this threaded comment; however, any edits to it will get removed if the file is opened in a newer version of Excel. Learn more: https://go.microsoft.com/fwlink/?linkid=870924
Comment:
    Includes Pepco, DPL, and ACE</t>
      </text>
    </comment>
    <comment ref="K475" authorId="48" shapeId="0" xr:uid="{B6EE5A55-66BD-42F8-B8D9-FB172E45EC66}">
      <text>
        <t>[Threaded comment]
Your version of Excel allows you to read this threaded comment; however, any edits to it will get removed if the file is opened in a newer version of Excel. Learn more: https://go.microsoft.com/fwlink/?linkid=870924
Comment:
    Plug to match total operating income on pg 119</t>
      </text>
    </comment>
    <comment ref="E476" authorId="49" shapeId="0" xr:uid="{2891A668-D6F9-4F9C-BB94-705401DE32F4}">
      <text>
        <t>[Threaded comment]
Your version of Excel allows you to read this threaded comment; however, any edits to it will get removed if the file is opened in a newer version of Excel. Learn more: https://go.microsoft.com/fwlink/?linkid=870924
Comment:
    (346) removed</t>
      </text>
    </comment>
    <comment ref="I476" authorId="50" shapeId="0" xr:uid="{B8532412-2616-4F7E-BA3F-E26C5602772B}">
      <text>
        <t>[Threaded comment]
Your version of Excel allows you to read this threaded comment; however, any edits to it will get removed if the file is opened in a newer version of Excel. Learn more: https://go.microsoft.com/fwlink/?linkid=870924
Comment:
    Includes Pepco, DPL, and ACE</t>
      </text>
    </comment>
    <comment ref="K476" authorId="51" shapeId="0" xr:uid="{401BB3D5-C0FE-4CC2-831C-81232A8EE80D}">
      <text>
        <t>[Threaded comment]
Your version of Excel allows you to read this threaded comment; however, any edits to it will get removed if the file is opened in a newer version of Excel. Learn more: https://go.microsoft.com/fwlink/?linkid=870924
Comment:
    Plug to match total operating income from pg 119</t>
      </text>
    </comment>
    <comment ref="E477" authorId="52" shapeId="0" xr:uid="{7464AB7E-F430-4B9F-8DD5-931DF1B51BA3}">
      <text>
        <t>[Threaded comment]
Your version of Excel allows you to read this threaded comment; however, any edits to it will get removed if the file is opened in a newer version of Excel. Learn more: https://go.microsoft.com/fwlink/?linkid=870924
Comment:
    256 removed</t>
      </text>
    </comment>
    <comment ref="I477" authorId="53" shapeId="0" xr:uid="{D9F3F373-2196-43C0-8F2F-B7C1901F1268}">
      <text>
        <t>[Threaded comment]
Your version of Excel allows you to read this threaded comment; however, any edits to it will get removed if the file is opened in a newer version of Excel. Learn more: https://go.microsoft.com/fwlink/?linkid=870924
Comment:
    Includes Pepco, DPL, and ACE</t>
      </text>
    </comment>
    <comment ref="K477" authorId="54" shapeId="0" xr:uid="{B035555B-BC68-4820-90D2-A081ED651FD5}">
      <text>
        <t>[Threaded comment]
Your version of Excel allows you to read this threaded comment; however, any edits to it will get removed if the file is opened in a newer version of Excel. Learn more: https://go.microsoft.com/fwlink/?linkid=870924
Comment:
    Plugged to match operating income on pg. 179</t>
      </text>
    </comment>
    <comment ref="E480" authorId="55" shapeId="0" xr:uid="{36E5C387-1098-44E7-98C1-405C9FEECE4D}">
      <text>
        <t xml:space="preserve">[Threaded comment]
Your version of Excel allows you to read this threaded comment; however, any edits to it will get removed if the file is opened in a newer version of Excel. Learn more: https://go.microsoft.com/fwlink/?linkid=870924
Comment:
    48,086 removed
</t>
      </text>
    </comment>
    <comment ref="E481" authorId="56" shapeId="0" xr:uid="{F4EE1F10-F557-4F8D-ADDD-8AF31E392458}">
      <text>
        <t>[Threaded comment]
Your version of Excel allows you to read this threaded comment; however, any edits to it will get removed if the file is opened in a newer version of Excel. Learn more: https://go.microsoft.com/fwlink/?linkid=870924
Comment:
    48,094 removed</t>
      </text>
    </comment>
    <comment ref="E554" authorId="6" shapeId="0" xr:uid="{452AC29D-AEAC-4F28-AFD4-CB1D7ED6E7FA}">
      <text>
        <r>
          <rPr>
            <b/>
            <sz val="9"/>
            <color indexed="81"/>
            <rFont val="Tahoma"/>
            <family val="2"/>
          </rPr>
          <t>Bryan Hu:</t>
        </r>
        <r>
          <rPr>
            <sz val="9"/>
            <color indexed="81"/>
            <rFont val="Tahoma"/>
            <family val="2"/>
          </rPr>
          <t xml:space="preserve">
Rate-regulated utility business</t>
        </r>
      </text>
    </comment>
    <comment ref="F554" authorId="6" shapeId="0" xr:uid="{BE8D85F7-C31B-4C89-BAF8-48D97FC251F6}">
      <text>
        <r>
          <rPr>
            <b/>
            <sz val="9"/>
            <color indexed="81"/>
            <rFont val="Tahoma"/>
            <family val="2"/>
          </rPr>
          <t>Bryan Hu:</t>
        </r>
        <r>
          <rPr>
            <sz val="9"/>
            <color indexed="81"/>
            <rFont val="Tahoma"/>
            <family val="2"/>
          </rPr>
          <t xml:space="preserve">
Comprised of competitive energy and rate-regulated transmission businesses</t>
        </r>
      </text>
    </comment>
    <comment ref="G554" authorId="6" shapeId="0" xr:uid="{E125118B-DA77-419D-AAD1-6301B1F5DB87}">
      <text>
        <r>
          <rPr>
            <b/>
            <sz val="9"/>
            <color indexed="81"/>
            <rFont val="Tahoma"/>
            <family val="2"/>
          </rPr>
          <t>Bryan Hu:</t>
        </r>
        <r>
          <rPr>
            <sz val="9"/>
            <color indexed="81"/>
            <rFont val="Tahoma"/>
            <family val="2"/>
          </rPr>
          <t xml:space="preserve">
Includes eliminating entries</t>
        </r>
      </text>
    </comment>
    <comment ref="B560" authorId="6" shapeId="0" xr:uid="{FDE311D4-2D86-4DA0-9672-4829EB91AB44}">
      <text>
        <r>
          <rPr>
            <b/>
            <sz val="9"/>
            <color indexed="81"/>
            <rFont val="Tahoma"/>
            <family val="2"/>
          </rPr>
          <t>Bryan Hu:</t>
        </r>
        <r>
          <rPr>
            <sz val="9"/>
            <color indexed="81"/>
            <rFont val="Tahoma"/>
            <family val="2"/>
          </rPr>
          <t xml:space="preserve">
Equals Operating Revenues - Operating Expenses Net</t>
        </r>
      </text>
    </comment>
    <comment ref="F599" authorId="57" shapeId="0" xr:uid="{58C8ED17-7C38-405E-B7D6-A9A8F33CE8BE}">
      <text>
        <r>
          <rPr>
            <b/>
            <sz val="9"/>
            <color indexed="81"/>
            <rFont val="Tahoma"/>
            <family val="2"/>
          </rPr>
          <t>Pieter Zwart:</t>
        </r>
        <r>
          <rPr>
            <sz val="9"/>
            <color indexed="81"/>
            <rFont val="Tahoma"/>
            <family val="2"/>
          </rPr>
          <t xml:space="preserve">
 In March 2020, OGE Energy recorded a $780.0 million impairment on its investment in Enable</t>
        </r>
      </text>
    </comment>
    <comment ref="E627" authorId="6" shapeId="0" xr:uid="{CE555401-D725-4267-B060-12EB066623E3}">
      <text>
        <r>
          <rPr>
            <b/>
            <sz val="9"/>
            <color indexed="81"/>
            <rFont val="Tahoma"/>
            <family val="2"/>
          </rPr>
          <t>Bryan Hu:</t>
        </r>
        <r>
          <rPr>
            <sz val="9"/>
            <color indexed="81"/>
            <rFont val="Tahoma"/>
            <family val="2"/>
          </rPr>
          <t xml:space="preserve">
Use FERC Form data</t>
        </r>
      </text>
    </comment>
    <comment ref="B628" authorId="0" shapeId="0" xr:uid="{E6C4CDA3-BA20-4DFA-BC58-9A4AD49BBAEF}">
      <text>
        <r>
          <rPr>
            <b/>
            <sz val="9"/>
            <color indexed="81"/>
            <rFont val="Tahoma"/>
            <family val="2"/>
          </rPr>
          <t>Total Operating Income distributed by electric/gas margin ratio</t>
        </r>
      </text>
    </comment>
    <comment ref="E628" authorId="6" shapeId="0" xr:uid="{542A2632-2A3B-490F-8B86-49FBB6902C81}">
      <text>
        <r>
          <rPr>
            <b/>
            <sz val="9"/>
            <color indexed="81"/>
            <rFont val="Tahoma"/>
            <family val="2"/>
          </rPr>
          <t>Bryan Hu:</t>
        </r>
        <r>
          <rPr>
            <sz val="9"/>
            <color indexed="81"/>
            <rFont val="Tahoma"/>
            <family val="2"/>
          </rPr>
          <t xml:space="preserve">
Use FERC Form data</t>
        </r>
      </text>
    </comment>
    <comment ref="E629" authorId="6" shapeId="0" xr:uid="{7CCED1F6-4E6E-402D-9288-8A4511FBFCA7}">
      <text>
        <r>
          <rPr>
            <b/>
            <sz val="9"/>
            <color indexed="81"/>
            <rFont val="Tahoma"/>
            <family val="2"/>
          </rPr>
          <t>Bryan Hu:</t>
        </r>
        <r>
          <rPr>
            <sz val="9"/>
            <color indexed="81"/>
            <rFont val="Tahoma"/>
            <family val="2"/>
          </rPr>
          <t xml:space="preserve">
Use FERC Form data</t>
        </r>
      </text>
    </comment>
    <comment ref="B632" authorId="0" shapeId="0" xr:uid="{D76D9E41-56E3-4098-91CA-8E18CBDC6556}">
      <text>
        <r>
          <rPr>
            <b/>
            <sz val="9"/>
            <color indexed="81"/>
            <rFont val="Tahoma"/>
            <family val="2"/>
          </rPr>
          <t>Distribute total assets by electric and natural gas PPE Ratio</t>
        </r>
      </text>
    </comment>
    <comment ref="E690" authorId="58" shapeId="0" xr:uid="{3E44E48A-CC44-4E1B-B36E-27BCBEEB853B}">
      <text>
        <r>
          <rPr>
            <sz val="10"/>
            <rFont val="Arial"/>
            <family val="2"/>
          </rPr>
          <t>Bryan Hu:
PPL sold UK business on June, 14 2021. Data from 2019-2020 removed to ensure that ratios represent ongoing utility operations</t>
        </r>
      </text>
    </comment>
    <comment ref="H690" authorId="59" shapeId="0" xr:uid="{5A6D092E-460E-4C8D-ABF7-B57F88F9245B}">
      <text>
        <t>[Threaded comment]
Your version of Excel allows you to read this threaded comment; however, any edits to it will get removed if the file is opened in a newer version of Excel. Learn more: https://go.microsoft.com/fwlink/?linkid=870924
Comment:
    Acquired on May 25, 2022</t>
      </text>
    </comment>
    <comment ref="B696" authorId="26" shapeId="0" xr:uid="{2B8B6C5A-72BB-402B-A22F-15EBD6CCF436}">
      <text>
        <r>
          <rPr>
            <b/>
            <sz val="9"/>
            <color indexed="81"/>
            <rFont val="Tahoma"/>
            <family val="2"/>
          </rPr>
          <t>Use Gross Margin</t>
        </r>
      </text>
    </comment>
    <comment ref="E708" authorId="60" shapeId="0" xr:uid="{59F10D8A-BC05-4A97-AEF0-8BF75996191D}">
      <text>
        <r>
          <rPr>
            <b/>
            <sz val="9"/>
            <color indexed="81"/>
            <rFont val="Tahoma"/>
            <family val="2"/>
          </rPr>
          <t>Clara-Ann Joyce:</t>
        </r>
        <r>
          <rPr>
            <sz val="9"/>
            <color indexed="81"/>
            <rFont val="Tahoma"/>
            <family val="2"/>
          </rPr>
          <t xml:space="preserve">
PSEG Power and Other reported as a combined amount in 2022</t>
        </r>
      </text>
    </comment>
    <comment ref="E712" authorId="60" shapeId="0" xr:uid="{93BBEB65-F402-4487-A1E3-A0A3B72C5D63}">
      <text>
        <r>
          <rPr>
            <b/>
            <sz val="9"/>
            <color indexed="81"/>
            <rFont val="Tahoma"/>
            <family val="2"/>
          </rPr>
          <t>Clara-Ann Joyce:</t>
        </r>
        <r>
          <rPr>
            <sz val="9"/>
            <color indexed="81"/>
            <rFont val="Tahoma"/>
            <family val="2"/>
          </rPr>
          <t xml:space="preserve">
PSEG Power and Other reported as a combined amount in 2022</t>
        </r>
      </text>
    </comment>
    <comment ref="D713" authorId="6" shapeId="0" xr:uid="{81687F9E-C1EE-45A1-9AEB-2EB01BBEF57F}">
      <text>
        <r>
          <rPr>
            <sz val="10"/>
            <rFont val="Arial"/>
            <family val="2"/>
          </rPr>
          <t>Bryan Hu:
Excludes Power segment due to 2021 anomaly associated with sale of coal assets</t>
        </r>
      </text>
    </comment>
    <comment ref="E713" authorId="57" shapeId="0" xr:uid="{5DEEC930-6CA5-4C48-8FB7-C87E365426B1}">
      <text>
        <r>
          <rPr>
            <sz val="10"/>
            <rFont val="Arial"/>
            <family val="2"/>
          </rPr>
          <t>Pieter Zwart:
One-time loss associated with sale of coal assets</t>
        </r>
      </text>
    </comment>
    <comment ref="E716" authorId="60" shapeId="0" xr:uid="{E407A369-19EB-43FC-8B21-B1661312B880}">
      <text>
        <r>
          <rPr>
            <b/>
            <sz val="9"/>
            <color indexed="81"/>
            <rFont val="Tahoma"/>
            <family val="2"/>
          </rPr>
          <t>Clara-Ann Joyce:</t>
        </r>
        <r>
          <rPr>
            <sz val="9"/>
            <color indexed="81"/>
            <rFont val="Tahoma"/>
            <family val="2"/>
          </rPr>
          <t xml:space="preserve">
PSEG Power and Other reported as a combined amount in 2022</t>
        </r>
      </text>
    </comment>
    <comment ref="G724" authorId="6" shapeId="0" xr:uid="{1BEC42B5-3504-420A-9394-D8893084EA83}">
      <text>
        <r>
          <rPr>
            <b/>
            <sz val="9"/>
            <color indexed="81"/>
            <rFont val="Tahoma"/>
            <family val="2"/>
          </rPr>
          <t>Bryan Hu:</t>
        </r>
        <r>
          <rPr>
            <sz val="9"/>
            <color indexed="81"/>
            <rFont val="Tahoma"/>
            <family val="2"/>
          </rPr>
          <t xml:space="preserve">
Calculated here using 80.25% interest in Oncor and excluding negligible interest in Sharyland Holdings. Do not use 2019 Sempra 10-K reported Segment Information; see instead Oncor Electric Delivery Holding Company LLC Statements of Consolidated Income</t>
        </r>
      </text>
    </comment>
    <comment ref="K724" authorId="57" shapeId="0" xr:uid="{7083426E-F702-4890-A7C7-799CEFDC5768}">
      <text>
        <r>
          <rPr>
            <b/>
            <sz val="9"/>
            <color indexed="81"/>
            <rFont val="Tahoma"/>
            <family val="2"/>
          </rPr>
          <t>Pieter Zwart:</t>
        </r>
        <r>
          <rPr>
            <sz val="9"/>
            <color indexed="81"/>
            <rFont val="Tahoma"/>
            <family val="2"/>
          </rPr>
          <t xml:space="preserve">
"In the fourth quarter of 2021, we formed Sempra Infrastructure, a new segment that includes the operating companies of our subsidiary, SI Partners, as well as a holding company and certain services companies. Through an internal reorganization, we consolidated the assets of our LNG business (previously included in our Sempra LNG segment) and our ownership of IEnova (previously included in our Sempra Mexico segment) under Sempra Global (previously included in Parent and other), which was renamed SI Partners."
- 2021 Form 10-K pp. 12</t>
        </r>
      </text>
    </comment>
    <comment ref="O724" authorId="6" shapeId="0" xr:uid="{A8B77EFF-F692-4313-8698-62D356AC65C8}">
      <text>
        <r>
          <rPr>
            <b/>
            <sz val="9"/>
            <color indexed="81"/>
            <rFont val="Tahoma"/>
            <family val="2"/>
          </rPr>
          <t>Bryan Hu:</t>
        </r>
        <r>
          <rPr>
            <sz val="9"/>
            <color indexed="81"/>
            <rFont val="Tahoma"/>
            <family val="2"/>
          </rPr>
          <t xml:space="preserve">
Excluded from Total calculations due to lack of representation of future operations</t>
        </r>
      </text>
    </comment>
    <comment ref="S725" authorId="2" shapeId="0" xr:uid="{53FF49D0-CDA6-45CC-AA5B-44FEF8E5B620}">
      <text>
        <r>
          <rPr>
            <b/>
            <sz val="9"/>
            <color indexed="81"/>
            <rFont val="Tahoma"/>
            <family val="2"/>
          </rPr>
          <t>Allocated based on revenue</t>
        </r>
      </text>
    </comment>
    <comment ref="S726" authorId="2" shapeId="0" xr:uid="{B02898FA-2C06-4222-8200-6EA4177AE781}">
      <text>
        <r>
          <rPr>
            <b/>
            <sz val="9"/>
            <color indexed="81"/>
            <rFont val="Tahoma"/>
            <family val="2"/>
          </rPr>
          <t>Allocated based on revenue</t>
        </r>
      </text>
    </comment>
    <comment ref="F729" authorId="6" shapeId="0" xr:uid="{3C69863B-30FA-4D85-8BAC-7A91AEF9AB1D}">
      <text>
        <r>
          <rPr>
            <sz val="10"/>
            <rFont val="Arial"/>
            <family val="2"/>
          </rPr>
          <t>Bryan Hu:
Anomalous losses associated gas leak penalty included</t>
        </r>
      </text>
    </comment>
    <comment ref="N729" authorId="6" shapeId="0" xr:uid="{8DD80D26-38FC-437D-BE0C-9999E04396E0}">
      <text>
        <r>
          <rPr>
            <b/>
            <sz val="9"/>
            <color indexed="81"/>
            <rFont val="Tahoma"/>
            <family val="2"/>
          </rPr>
          <t>Pieter Zwart:</t>
        </r>
        <r>
          <rPr>
            <sz val="9"/>
            <color indexed="81"/>
            <rFont val="Tahoma"/>
            <family val="2"/>
          </rPr>
          <t xml:space="preserve">
Only segment Interest Expense and Interest Income reported</t>
        </r>
      </text>
    </comment>
    <comment ref="O729" authorId="57" shapeId="0" xr:uid="{932A048A-FA5C-446E-B139-38D32DED8992}">
      <text>
        <r>
          <rPr>
            <b/>
            <sz val="9"/>
            <color indexed="81"/>
            <rFont val="Tahoma"/>
            <family val="2"/>
          </rPr>
          <t>Pieter Zwart:</t>
        </r>
        <r>
          <rPr>
            <sz val="9"/>
            <color indexed="81"/>
            <rFont val="Tahoma"/>
            <family val="2"/>
          </rPr>
          <t xml:space="preserve">
Only earnings (losses) attributable to common shares reported.</t>
        </r>
      </text>
    </comment>
    <comment ref="S729" authorId="2" shapeId="0" xr:uid="{39DC411E-8A0E-49CB-AFA4-E44A81860D3F}">
      <text>
        <r>
          <rPr>
            <b/>
            <sz val="9"/>
            <color indexed="81"/>
            <rFont val="Tahoma"/>
            <family val="2"/>
          </rPr>
          <t>Allocated based on margin</t>
        </r>
      </text>
    </comment>
    <comment ref="B730" authorId="26" shapeId="0" xr:uid="{71FEF69A-D305-48F9-8684-27384B1FAA59}">
      <text>
        <r>
          <rPr>
            <b/>
            <sz val="9"/>
            <color indexed="81"/>
            <rFont val="Tahoma"/>
            <family val="2"/>
          </rPr>
          <t>= Segment Earnings (Losses) Attributable to Common Shares + Income Taxes + Interest Expense - Interest Income</t>
        </r>
      </text>
    </comment>
    <comment ref="F730" authorId="6" shapeId="0" xr:uid="{786B2807-7E32-495E-AA31-D7718FAABAB0}">
      <text>
        <r>
          <rPr>
            <sz val="10"/>
            <rFont val="Arial"/>
            <family val="2"/>
          </rPr>
          <t>Bryan Hu:
Anomalous losses associated gas leak penalty included</t>
        </r>
      </text>
    </comment>
    <comment ref="N730" authorId="6" shapeId="0" xr:uid="{B9CDB1CF-AF26-486A-8B2F-EF837F74C0BC}">
      <text>
        <r>
          <rPr>
            <b/>
            <sz val="9"/>
            <color indexed="81"/>
            <rFont val="Tahoma"/>
            <family val="2"/>
          </rPr>
          <t>Pieter Zwart:</t>
        </r>
        <r>
          <rPr>
            <sz val="9"/>
            <color indexed="81"/>
            <rFont val="Tahoma"/>
            <family val="2"/>
          </rPr>
          <t xml:space="preserve">
Only segment Interest Expense and Interest Income reported</t>
        </r>
      </text>
    </comment>
    <comment ref="O730" authorId="57" shapeId="0" xr:uid="{90D40124-9372-40AF-BF3A-FDA244EEB289}">
      <text>
        <r>
          <rPr>
            <b/>
            <sz val="9"/>
            <color indexed="81"/>
            <rFont val="Tahoma"/>
            <family val="2"/>
          </rPr>
          <t>Pieter Zwart:</t>
        </r>
        <r>
          <rPr>
            <sz val="9"/>
            <color indexed="81"/>
            <rFont val="Tahoma"/>
            <family val="2"/>
          </rPr>
          <t xml:space="preserve">
Only earnings (losses) attributable to common shares reported.</t>
        </r>
      </text>
    </comment>
    <comment ref="I731" authorId="61" shapeId="0" xr:uid="{6484CD8F-DE69-4D68-A313-BA53DB0672C8}">
      <text>
        <r>
          <rPr>
            <b/>
            <sz val="9"/>
            <color indexed="81"/>
            <rFont val="Tahoma"/>
            <family val="2"/>
          </rPr>
          <t>Wale Akanni:</t>
        </r>
        <r>
          <rPr>
            <sz val="9"/>
            <color indexed="81"/>
            <rFont val="Tahoma"/>
            <family val="2"/>
          </rPr>
          <t xml:space="preserve">
Sempra Rnewables did not have any reported Operating Income components 
in 2020 10-k</t>
        </r>
      </text>
    </comment>
    <comment ref="G733" authorId="57" shapeId="0" xr:uid="{D085DD8F-51D1-49A7-9F12-FE66A7DCAD84}">
      <text>
        <r>
          <rPr>
            <b/>
            <sz val="9"/>
            <color indexed="81"/>
            <rFont val="Tahoma"/>
            <family val="2"/>
          </rPr>
          <t>Pieter Zwart:</t>
        </r>
        <r>
          <rPr>
            <sz val="9"/>
            <color indexed="81"/>
            <rFont val="Tahoma"/>
            <family val="2"/>
          </rPr>
          <t xml:space="preserve">
$13,034,000 listed for 2019 in 2021 Form 10-K pp. F-154</t>
        </r>
      </text>
    </comment>
    <comment ref="S733" authorId="2" shapeId="0" xr:uid="{91CE016A-8667-4870-A54B-57B27DC4634E}">
      <text>
        <r>
          <rPr>
            <b/>
            <sz val="9"/>
            <color indexed="81"/>
            <rFont val="Tahoma"/>
            <family val="2"/>
          </rPr>
          <t>Allocate based on revenue</t>
        </r>
      </text>
    </comment>
    <comment ref="G734" authorId="57" shapeId="0" xr:uid="{23AB07EB-1614-4707-AF5E-0BAAA4D42E41}">
      <text>
        <r>
          <rPr>
            <b/>
            <sz val="9"/>
            <color indexed="81"/>
            <rFont val="Tahoma"/>
            <family val="2"/>
          </rPr>
          <t>Pieter Zwart:</t>
        </r>
        <r>
          <rPr>
            <sz val="9"/>
            <color indexed="81"/>
            <rFont val="Tahoma"/>
            <family val="2"/>
          </rPr>
          <t xml:space="preserve">
$13,034,000 listed for 2019 in 2021 Form 10-K pp. F-154</t>
        </r>
      </text>
    </comment>
    <comment ref="G735" authorId="57" shapeId="0" xr:uid="{C9FA479A-46E2-46CA-9A15-A2C33C58417B}">
      <text>
        <r>
          <rPr>
            <b/>
            <sz val="9"/>
            <color indexed="81"/>
            <rFont val="Tahoma"/>
            <family val="2"/>
          </rPr>
          <t>Pieter Zwart:</t>
        </r>
        <r>
          <rPr>
            <sz val="9"/>
            <color indexed="81"/>
            <rFont val="Tahoma"/>
            <family val="2"/>
          </rPr>
          <t xml:space="preserve">
$12,542,000 listed for 2019 in 2021 Form 10-K pp. F-154</t>
        </r>
      </text>
    </comment>
    <comment ref="B747" authorId="26" shapeId="0" xr:uid="{4F4BD2B5-30E2-49DB-B0BD-5AE73C3D0B60}">
      <text>
        <r>
          <rPr>
            <b/>
            <sz val="9"/>
            <color indexed="81"/>
            <rFont val="Tahoma"/>
            <family val="2"/>
          </rPr>
          <t>Segment Net Income (Loss) + Income Taxes + Interest Expense - Earnings from equity investments - Interest Income</t>
        </r>
      </text>
    </comment>
    <comment ref="E775" authorId="0" shapeId="0" xr:uid="{845BBDBA-E3C5-483D-A989-25B5A61DAEAC}">
      <text>
        <r>
          <rPr>
            <b/>
            <sz val="9"/>
            <color indexed="81"/>
            <rFont val="Tahoma"/>
            <family val="2"/>
          </rPr>
          <t>Operating income and assets are allocated based on revenue %</t>
        </r>
      </text>
    </comment>
    <comment ref="F775" authorId="0" shapeId="0" xr:uid="{0264D446-3E49-49A5-A5D9-C3AFA3910183}">
      <text>
        <r>
          <rPr>
            <b/>
            <sz val="9"/>
            <color indexed="81"/>
            <rFont val="Tahoma"/>
            <family val="2"/>
          </rPr>
          <t>Operating income and assets are allocated based on revenue %</t>
        </r>
      </text>
    </comment>
    <comment ref="I775" authorId="6" shapeId="0" xr:uid="{7A28321B-9D15-47DC-A946-00207F4D9682}">
      <text>
        <r>
          <rPr>
            <b/>
            <sz val="9"/>
            <color indexed="81"/>
            <rFont val="Tahoma"/>
            <family val="2"/>
          </rPr>
          <t>Bryan Hu:</t>
        </r>
        <r>
          <rPr>
            <sz val="9"/>
            <color indexed="81"/>
            <rFont val="Tahoma"/>
            <family val="2"/>
          </rPr>
          <t xml:space="preserve">
Equity in earnings of transmission affiliates nets out operating income to zero</t>
        </r>
      </text>
    </comment>
    <comment ref="B781" authorId="57" shapeId="0" xr:uid="{E8F31FB2-21ED-4E08-BE5D-409992FF8BFB}">
      <text>
        <r>
          <rPr>
            <b/>
            <sz val="9"/>
            <color indexed="81"/>
            <rFont val="Tahoma"/>
            <family val="2"/>
          </rPr>
          <t>Pieter Zwart:</t>
        </r>
        <r>
          <rPr>
            <sz val="9"/>
            <color indexed="81"/>
            <rFont val="Tahoma"/>
            <family val="2"/>
          </rPr>
          <t xml:space="preserve">
For Non-utility energy infrastructure, corporate and other, and reconcililing eliminations: net income + income tax expense + interest expense</t>
        </r>
      </text>
    </comment>
    <comment ref="AB794" authorId="61" shapeId="0" xr:uid="{6B53F901-221B-4C99-81A8-0903ED214D83}">
      <text>
        <r>
          <rPr>
            <b/>
            <sz val="9"/>
            <color indexed="81"/>
            <rFont val="Tahoma"/>
            <family val="2"/>
          </rPr>
          <t>Wale Akanni:</t>
        </r>
        <r>
          <rPr>
            <sz val="9"/>
            <color indexed="81"/>
            <rFont val="Tahoma"/>
            <family val="2"/>
          </rPr>
          <t xml:space="preserve">
2020 Form 10-k pg 27</t>
        </r>
      </text>
    </comment>
    <comment ref="AB795" authorId="57" shapeId="0" xr:uid="{1DD7EF59-B851-4964-8772-A00B71EDC3C8}">
      <text>
        <r>
          <rPr>
            <b/>
            <sz val="9"/>
            <color indexed="81"/>
            <rFont val="Tahoma"/>
            <family val="2"/>
          </rPr>
          <t>Pieter Zwart:</t>
        </r>
        <r>
          <rPr>
            <sz val="9"/>
            <color indexed="81"/>
            <rFont val="Tahoma"/>
            <family val="2"/>
          </rPr>
          <t xml:space="preserve">
2019 10-K margin increases (pp. 24) </t>
        </r>
      </text>
    </comment>
    <comment ref="B798" authorId="26" shapeId="0" xr:uid="{80777FBF-146E-4F65-B9B7-D51D64512958}">
      <text>
        <r>
          <rPr>
            <b/>
            <sz val="9"/>
            <color indexed="81"/>
            <rFont val="Tahoma"/>
            <family val="2"/>
          </rPr>
          <t>Allocated based on  Margins</t>
        </r>
      </text>
    </comment>
    <comment ref="B802" authorId="26" shapeId="0" xr:uid="{7B569BE0-35C0-4680-80D0-8ABB8535A896}">
      <text>
        <r>
          <rPr>
            <b/>
            <sz val="9"/>
            <color indexed="81"/>
            <rFont val="Tahoma"/>
            <family val="2"/>
          </rPr>
          <t>Allocated based on  revenue %</t>
        </r>
      </text>
    </comment>
    <comment ref="B830" authorId="57" shapeId="0" xr:uid="{AFE7A371-616A-4A1E-A11E-4BB05A59C8C1}">
      <text>
        <r>
          <rPr>
            <b/>
            <sz val="9"/>
            <color indexed="81"/>
            <rFont val="Tahoma"/>
            <family val="2"/>
          </rPr>
          <t>Pieter Zwart:</t>
        </r>
        <r>
          <rPr>
            <sz val="9"/>
            <color indexed="81"/>
            <rFont val="Tahoma"/>
            <family val="2"/>
          </rPr>
          <t xml:space="preserve">
Operating income calculated: Segment Revenue - Cost of sales - Operating - Accretion - D&amp;A - Provisions. See 2021 annual report pp. 145 of 151. </t>
        </r>
      </text>
    </comment>
    <comment ref="E841" authorId="57" shapeId="0" xr:uid="{83019FFF-B9B7-4B49-80BE-039AB5EBD56C}">
      <text>
        <r>
          <rPr>
            <b/>
            <sz val="9"/>
            <color indexed="81"/>
            <rFont val="Tahoma"/>
            <family val="2"/>
          </rPr>
          <t>Pieter Zwart:</t>
        </r>
        <r>
          <rPr>
            <sz val="9"/>
            <color indexed="81"/>
            <rFont val="Tahoma"/>
            <family val="2"/>
          </rPr>
          <t xml:space="preserve">
"The Utilities (Electricity) segment includes ATCO Electric, which provides
regulated electricity transmission and distribution services in northern and
central east Alberta, the Yukon, the Northwest Territories and in the
Lloydminster area of Saskatchewan, and the Company's 50 per cent ownership
interest in LUMA Energy, LLC, which provides international electricity operations." -2022 FS, pp. 15</t>
        </r>
      </text>
    </comment>
    <comment ref="F841" authorId="57" shapeId="0" xr:uid="{3F6A1EB5-4F06-49AB-BA36-27D6BD49ADB0}">
      <text>
        <r>
          <rPr>
            <b/>
            <sz val="9"/>
            <color indexed="81"/>
            <rFont val="Tahoma"/>
            <family val="2"/>
          </rPr>
          <t>Pieter Zwart:</t>
        </r>
        <r>
          <rPr>
            <sz val="9"/>
            <color indexed="81"/>
            <rFont val="Tahoma"/>
            <family val="2"/>
          </rPr>
          <t xml:space="preserve">
"The Utilities (Natural Gas) segment includes ATCO Gas, ATCO Pipelines and ATCO
Gas Australia. These businesses provide integrated natural gas transmission and
distribution services throughout Alberta, in the Lloydminster area of
Saskatchewan and in Western Australia."
-2022 FS, pp. 15</t>
        </r>
      </text>
    </comment>
    <comment ref="R841" authorId="57" shapeId="0" xr:uid="{A6C615F4-927C-4917-8A62-E17EB01DC91B}">
      <text>
        <r>
          <rPr>
            <b/>
            <sz val="9"/>
            <color indexed="81"/>
            <rFont val="Tahoma"/>
            <family val="2"/>
          </rPr>
          <t>Pieter Zwart:</t>
        </r>
        <r>
          <rPr>
            <sz val="9"/>
            <color indexed="81"/>
            <rFont val="Tahoma"/>
            <family val="2"/>
          </rPr>
          <t xml:space="preserve">
Both electricity and Natural Gas fall under the "utilities" umbrella and include transmission and distribution operations. See 2020 FS pp. 15.</t>
        </r>
      </text>
    </comment>
    <comment ref="B847" authorId="57" shapeId="0" xr:uid="{9AE93C19-50D2-4B13-BE9B-3415D8FA86C4}">
      <text>
        <r>
          <rPr>
            <b/>
            <sz val="9"/>
            <color indexed="81"/>
            <rFont val="Tahoma"/>
            <family val="2"/>
          </rPr>
          <t>Pieter Zwart:</t>
        </r>
        <r>
          <rPr>
            <sz val="9"/>
            <color indexed="81"/>
            <rFont val="Tahoma"/>
            <family val="2"/>
          </rPr>
          <t xml:space="preserve">
Revenues - operating expenses - D&amp;A. See CU 2019 Annual report pp. 92 of 154.</t>
        </r>
      </text>
    </comment>
    <comment ref="I860" authorId="57" shapeId="0" xr:uid="{9B514D3B-09B7-4CA8-B78F-BCE5E73B6D9A}">
      <text>
        <r>
          <rPr>
            <b/>
            <sz val="9"/>
            <color indexed="81"/>
            <rFont val="Tahoma"/>
            <family val="2"/>
          </rPr>
          <t>Pieter Zwart:</t>
        </r>
        <r>
          <rPr>
            <sz val="9"/>
            <color indexed="81"/>
            <rFont val="Tahoma"/>
            <family val="2"/>
          </rPr>
          <t xml:space="preserve">
2021 Annual report pp. 27 states that earnings are dependent on market conditions and volaility in natural gas and electricity markets. Generally expected range is between $45-$70M CAD. Recent net loss expected to be higher in 2022 based return to normal earnings range.</t>
        </r>
      </text>
    </comment>
    <comment ref="H861" authorId="6" shapeId="0" xr:uid="{405AC082-F7B9-448C-869F-E0FE8F304C0E}">
      <text>
        <r>
          <rPr>
            <b/>
            <sz val="9"/>
            <color indexed="81"/>
            <rFont val="Tahoma"/>
            <family val="2"/>
          </rPr>
          <t>Bryan Hu:</t>
        </r>
        <r>
          <rPr>
            <sz val="9"/>
            <color indexed="81"/>
            <rFont val="Tahoma"/>
            <family val="2"/>
          </rPr>
          <t xml:space="preserve">
Assumed to be entirely Emera Caribbean due to the sale of Emera Maine in Q1 2020</t>
        </r>
      </text>
    </comment>
    <comment ref="A864" authorId="57" shapeId="0" xr:uid="{37659F4F-48FB-46B3-86E8-B1CCC71A5D11}">
      <text>
        <r>
          <rPr>
            <b/>
            <sz val="9"/>
            <color indexed="81"/>
            <rFont val="Tahoma"/>
            <family val="2"/>
          </rPr>
          <t>Pieter Zwart:</t>
        </r>
        <r>
          <rPr>
            <sz val="9"/>
            <color indexed="81"/>
            <rFont val="Tahoma"/>
            <family val="2"/>
          </rPr>
          <t xml:space="preserve">
Calculated for 2022. EBITDA = net income (loss) attributable to common shareholders + interest expense, net + income tax expense (recovery) + depreciation and amortization</t>
        </r>
      </text>
    </comment>
    <comment ref="H865" authorId="6" shapeId="0" xr:uid="{576BC9F5-0145-4A26-B254-E34005F071A7}">
      <text>
        <r>
          <rPr>
            <b/>
            <sz val="9"/>
            <color indexed="81"/>
            <rFont val="Tahoma"/>
            <family val="2"/>
          </rPr>
          <t>Bryan Hu:</t>
        </r>
        <r>
          <rPr>
            <sz val="9"/>
            <color indexed="81"/>
            <rFont val="Tahoma"/>
            <family val="2"/>
          </rPr>
          <t xml:space="preserve">
Assumed to be entirely Emera Caribbean due to the sale of Emera Maine in Q1 2020</t>
        </r>
      </text>
    </comment>
    <comment ref="H869" authorId="6" shapeId="0" xr:uid="{3E1EE98F-D16F-46DF-936D-A0C57A6BC381}">
      <text>
        <r>
          <rPr>
            <b/>
            <sz val="9"/>
            <color indexed="81"/>
            <rFont val="Tahoma"/>
            <family val="2"/>
          </rPr>
          <t>Bryan Hu:</t>
        </r>
        <r>
          <rPr>
            <sz val="9"/>
            <color indexed="81"/>
            <rFont val="Tahoma"/>
            <family val="2"/>
          </rPr>
          <t xml:space="preserve">
Assumed to be entirely Emera Caribbean due to the sale of Emera Maine in Q1 2020</t>
        </r>
      </text>
    </comment>
    <comment ref="Y882" authorId="3" shapeId="0" xr:uid="{8D6CB4E4-5185-42B8-AAE5-7F6809323EEB}">
      <text>
        <r>
          <rPr>
            <b/>
            <sz val="9"/>
            <color indexed="81"/>
            <rFont val="Tahoma"/>
            <family val="2"/>
          </rPr>
          <t>Chris Wall:</t>
        </r>
        <r>
          <rPr>
            <sz val="9"/>
            <color indexed="81"/>
            <rFont val="Tahoma"/>
            <family val="2"/>
          </rPr>
          <t xml:space="preserve">
2019 Annual report does not include total segment assets; therefore, total company assets for 2019 were allocated using Total property, plant and equipment, net.  The allocation is not perfect as a large percentage of goodwill was recognized when Spectra was purchased.  This goodwill was allocated mostly to the Gas Transmission and Midstream Segment.  This is why the use of PPE results in a lower allocation for  the Gas Transmission and Midstream Segment. However, the allocation for the Gas Distribution segment is similar.  </t>
        </r>
      </text>
    </comment>
    <comment ref="C883" authorId="57" shapeId="0" xr:uid="{3DB25205-2FC2-4CCF-B558-80AE3B742A6C}">
      <text>
        <r>
          <rPr>
            <b/>
            <sz val="9"/>
            <color indexed="81"/>
            <rFont val="Tahoma"/>
            <family val="2"/>
          </rPr>
          <t>Pieter Zwart:</t>
        </r>
        <r>
          <rPr>
            <sz val="9"/>
            <color indexed="81"/>
            <rFont val="Tahoma"/>
            <family val="2"/>
          </rPr>
          <t xml:space="preserve">
Consistent application of 2021 allocation method.</t>
        </r>
      </text>
    </comment>
    <comment ref="C884" authorId="57" shapeId="0" xr:uid="{E6F6B0C7-3D75-4F9A-8314-49B2EE931443}">
      <text>
        <r>
          <rPr>
            <b/>
            <sz val="9"/>
            <color indexed="81"/>
            <rFont val="Tahoma"/>
            <family val="2"/>
          </rPr>
          <t>Pieter Zwart:</t>
        </r>
        <r>
          <rPr>
            <sz val="9"/>
            <color indexed="81"/>
            <rFont val="Tahoma"/>
            <family val="2"/>
          </rPr>
          <t xml:space="preserve">
Consistent application of 2019/2020 allocation method.</t>
        </r>
      </text>
    </comment>
    <comment ref="B885" authorId="3" shapeId="0" xr:uid="{88E07C35-BE9F-4423-9E18-61D6FA8FBC06}">
      <text>
        <r>
          <rPr>
            <b/>
            <sz val="9"/>
            <color indexed="81"/>
            <rFont val="Tahoma"/>
            <family val="2"/>
          </rPr>
          <t>Chris Wall:</t>
        </r>
        <r>
          <rPr>
            <sz val="9"/>
            <color indexed="81"/>
            <rFont val="Tahoma"/>
            <family val="2"/>
          </rPr>
          <t xml:space="preserve">
2019 Annual report does not include total segment assets; therefore, total company assets for 2019 were allocated using Total property, plant and equipment, net.  The allocation is not perfect as a large percentage of goodwill was recognized when Spectra was purchased.  This goodwill was allocated mostly to the Gas Transmission and Midstream Segment.  This is why the use of PPE results in a lower allocation for  the Gas Transmission and Midstream Segment. However, the allocation for the Gas Distribution segment is similar.  </t>
        </r>
      </text>
    </comment>
    <comment ref="C885" authorId="6" shapeId="0" xr:uid="{E2278681-5CD5-4414-916E-498FE51A8273}">
      <text>
        <r>
          <rPr>
            <b/>
            <sz val="9"/>
            <color indexed="81"/>
            <rFont val="Tahoma"/>
            <family val="2"/>
          </rPr>
          <t>Bryan Hu:</t>
        </r>
        <r>
          <rPr>
            <sz val="9"/>
            <color indexed="81"/>
            <rFont val="Tahoma"/>
            <family val="2"/>
          </rPr>
          <t xml:space="preserve">
2020 assets allocated as in 2019. Total net PP&amp;E per segment as of 2020 used to allocate out 2020 total company assets</t>
        </r>
      </text>
    </comment>
    <comment ref="E938" authorId="62" shapeId="0" xr:uid="{9A07C2BE-3B10-451E-B214-F842751FA224}">
      <text>
        <r>
          <rPr>
            <b/>
            <sz val="9"/>
            <color indexed="81"/>
            <rFont val="Tahoma"/>
            <family val="2"/>
          </rPr>
          <t>Tara Mou:</t>
        </r>
        <r>
          <rPr>
            <sz val="9"/>
            <color indexed="81"/>
            <rFont val="Tahoma"/>
            <family val="2"/>
          </rPr>
          <t xml:space="preserve">
Includes "other" regulated revenue.</t>
        </r>
      </text>
    </comment>
    <comment ref="G938" authorId="62" shapeId="0" xr:uid="{2D1DAC3C-C64D-40C6-B400-156380F439F9}">
      <text>
        <r>
          <rPr>
            <b/>
            <sz val="9"/>
            <color indexed="81"/>
            <rFont val="Tahoma"/>
            <family val="2"/>
          </rPr>
          <t>Tara Mou:</t>
        </r>
        <r>
          <rPr>
            <sz val="9"/>
            <color indexed="81"/>
            <rFont val="Tahoma"/>
            <family val="2"/>
          </rPr>
          <t xml:space="preserve">
"Market-Based" and "Other" business segments were combined into "Other" in 2022, and the 2022 10-K applies that change retroactively to 2022-2020 (see page 131)</t>
        </r>
      </text>
    </comment>
    <comment ref="B943" authorId="6" shapeId="0" xr:uid="{D219C3EE-F8EE-4633-9279-29F330BFB32D}">
      <text>
        <r>
          <rPr>
            <b/>
            <sz val="9"/>
            <color indexed="81"/>
            <rFont val="Tahoma"/>
            <family val="2"/>
          </rPr>
          <t>Bryan Hu:</t>
        </r>
        <r>
          <rPr>
            <sz val="9"/>
            <color indexed="81"/>
            <rFont val="Tahoma"/>
            <family val="2"/>
          </rPr>
          <t xml:space="preserve">
Income before income taxes. Only available at the "regulated" and "other" business segment level as of 2022</t>
        </r>
      </text>
    </comment>
    <comment ref="B947" authorId="62" shapeId="0" xr:uid="{745EBCCE-C00D-43CB-A69C-1267E6ED5239}">
      <text>
        <r>
          <rPr>
            <b/>
            <sz val="9"/>
            <color indexed="81"/>
            <rFont val="Tahoma"/>
            <family val="2"/>
          </rPr>
          <t>Tara Mou:</t>
        </r>
        <r>
          <rPr>
            <sz val="9"/>
            <color indexed="81"/>
            <rFont val="Tahoma"/>
            <family val="2"/>
          </rPr>
          <t xml:space="preserve">
Only available at the "regulated" and "other" business segment level as of 2022</t>
        </r>
      </text>
    </comment>
    <comment ref="B963" authorId="6" shapeId="0" xr:uid="{E9998FF8-E806-47DD-8E13-231DBEE8D217}">
      <text>
        <r>
          <rPr>
            <b/>
            <sz val="9"/>
            <color indexed="81"/>
            <rFont val="Tahoma"/>
            <family val="2"/>
          </rPr>
          <t>Bryan Hu:</t>
        </r>
        <r>
          <rPr>
            <sz val="9"/>
            <color indexed="81"/>
            <rFont val="Tahoma"/>
            <family val="2"/>
          </rPr>
          <t xml:space="preserve">
Total consolidated assets allocated out based on gross utility plant ratios </t>
        </r>
      </text>
    </comment>
    <comment ref="B975" authorId="6" shapeId="0" xr:uid="{2604347B-332D-4EC7-805F-66256EC58B95}">
      <text>
        <r>
          <rPr>
            <b/>
            <sz val="9"/>
            <color indexed="81"/>
            <rFont val="Tahoma"/>
            <family val="2"/>
          </rPr>
          <t>Pieter Zwart:</t>
        </r>
        <r>
          <rPr>
            <sz val="9"/>
            <color indexed="81"/>
            <rFont val="Tahoma"/>
            <family val="2"/>
          </rPr>
          <t xml:space="preserve">
Net operating income. See 2018 Form 10-K pp. 96 of 241. For Non-Regulated, Non-regulated Revenue less Non-regulated Expenses.</t>
        </r>
      </text>
    </comment>
    <comment ref="W986" authorId="6" shapeId="0" xr:uid="{FA4532BE-39EE-474B-AC3A-F8390A46E46A}">
      <text>
        <r>
          <rPr>
            <b/>
            <sz val="9"/>
            <color indexed="81"/>
            <rFont val="Tahoma"/>
            <family val="2"/>
          </rPr>
          <t>Bryan Hu:</t>
        </r>
        <r>
          <rPr>
            <sz val="9"/>
            <color indexed="81"/>
            <rFont val="Tahoma"/>
            <family val="2"/>
          </rPr>
          <t xml:space="preserve">
Does not include unregulated water operations</t>
        </r>
      </text>
    </comment>
    <comment ref="F1018" authorId="6" shapeId="0" xr:uid="{AA469B43-B2ED-4CD2-BE44-05F355D8D26C}">
      <text>
        <r>
          <rPr>
            <b/>
            <sz val="9"/>
            <color indexed="81"/>
            <rFont val="Tahoma"/>
            <family val="2"/>
          </rPr>
          <t>Bryan Hu:</t>
        </r>
        <r>
          <rPr>
            <sz val="9"/>
            <color indexed="81"/>
            <rFont val="Tahoma"/>
            <family val="2"/>
          </rPr>
          <t xml:space="preserve">
Reportable since the completion of the Peoples Gas acquisition on March 16, 2020</t>
        </r>
      </text>
    </comment>
    <comment ref="B1023" authorId="62" shapeId="0" xr:uid="{7571C4E8-23AD-40BB-9148-F172E7235E85}">
      <text>
        <r>
          <rPr>
            <b/>
            <sz val="9"/>
            <color indexed="81"/>
            <rFont val="Tahoma"/>
            <family val="2"/>
          </rPr>
          <t xml:space="preserve">Tara Mou:
</t>
        </r>
        <r>
          <rPr>
            <sz val="9"/>
            <color indexed="81"/>
            <rFont val="Tahoma"/>
            <family val="2"/>
          </rPr>
          <t>Total operating revenues minus operating expenses for regulated water and natural gas. Other and corporate eliminations calculated by subtracting other segments from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Bryan Hu</author>
  </authors>
  <commentList>
    <comment ref="C15" authorId="0" shapeId="0" xr:uid="{8DC8AAB8-EB79-4C6F-9BE6-11C1C67220ED}">
      <text>
        <r>
          <rPr>
            <b/>
            <sz val="9"/>
            <color indexed="81"/>
            <rFont val="Tahoma"/>
            <family val="2"/>
          </rPr>
          <t>Bryan Hu:</t>
        </r>
        <r>
          <rPr>
            <sz val="9"/>
            <color indexed="81"/>
            <rFont val="Tahoma"/>
            <family val="2"/>
          </rPr>
          <t xml:space="preserve">
Manually entered: Avangrid, Inc.</t>
        </r>
      </text>
    </comment>
    <comment ref="E15" authorId="0" shapeId="0" xr:uid="{52327A75-DD4D-4557-8670-9C8D748DCC09}">
      <text>
        <r>
          <rPr>
            <b/>
            <sz val="9"/>
            <color indexed="81"/>
            <rFont val="Tahoma"/>
            <family val="2"/>
          </rPr>
          <t>Bryan Hu:</t>
        </r>
        <r>
          <rPr>
            <sz val="9"/>
            <color indexed="81"/>
            <rFont val="Tahoma"/>
            <family val="2"/>
          </rPr>
          <t xml:space="preserve">
2018 used as proxy for 2019</t>
        </r>
      </text>
    </comment>
    <comment ref="BL15" authorId="0" shapeId="0" xr:uid="{E76BBF07-6EB8-4707-830F-5F98AACBD3DC}">
      <text>
        <r>
          <rPr>
            <b/>
            <sz val="9"/>
            <color indexed="81"/>
            <rFont val="Tahoma"/>
            <family val="2"/>
          </rPr>
          <t>Bryan Hu:</t>
        </r>
        <r>
          <rPr>
            <sz val="9"/>
            <color indexed="81"/>
            <rFont val="Tahoma"/>
            <family val="2"/>
          </rPr>
          <t xml:space="preserve">
2018 used as proxy for 2019</t>
        </r>
      </text>
    </comment>
    <comment ref="EK15" authorId="0" shapeId="0" xr:uid="{4BDA2212-BC87-4DD1-B0B2-6A54F1CEA226}">
      <text>
        <r>
          <rPr>
            <b/>
            <sz val="9"/>
            <color indexed="81"/>
            <rFont val="Tahoma"/>
            <family val="2"/>
          </rPr>
          <t>Bryan Hu:</t>
        </r>
        <r>
          <rPr>
            <sz val="9"/>
            <color indexed="81"/>
            <rFont val="Tahoma"/>
            <family val="2"/>
          </rPr>
          <t xml:space="preserve">
2018 used as proxy for 2019. Source: SNL - Natural Gas Utility Balance Sheet - Net Utility Plant (Excluding Nuclear Fuel)</t>
        </r>
      </text>
    </comment>
    <comment ref="EQ15" authorId="0" shapeId="0" xr:uid="{5499A270-0251-4747-8946-8C6C29D67FE4}">
      <text>
        <r>
          <rPr>
            <b/>
            <sz val="9"/>
            <color indexed="81"/>
            <rFont val="Tahoma"/>
            <family val="2"/>
          </rPr>
          <t>Bryan Hu:</t>
        </r>
        <r>
          <rPr>
            <sz val="9"/>
            <color indexed="81"/>
            <rFont val="Tahoma"/>
            <family val="2"/>
          </rPr>
          <t xml:space="preserve">
Manually entered: 200,356. Source: SNL - Natural Gas Utility Balance Sheet - Net Utility Plant (Excluding Nuclear Fuel)</t>
        </r>
      </text>
    </comment>
    <comment ref="EW15" authorId="0" shapeId="0" xr:uid="{813652C6-9B99-4A3C-B5F6-E848EF8B47D3}">
      <text>
        <r>
          <rPr>
            <b/>
            <sz val="9"/>
            <color indexed="81"/>
            <rFont val="Tahoma"/>
            <family val="2"/>
          </rPr>
          <t>Bryan Hu:</t>
        </r>
        <r>
          <rPr>
            <sz val="9"/>
            <color indexed="81"/>
            <rFont val="Tahoma"/>
            <family val="2"/>
          </rPr>
          <t xml:space="preserve">
Manually entered: 185,768. Source: SNL - Natural Gas Utility Balance Sheet - Net Utility Plant (Excluding Nuclear Fuel)</t>
        </r>
      </text>
    </comment>
    <comment ref="C16" authorId="0" shapeId="0" xr:uid="{FD814BE4-DCFE-4518-9E24-ED7593F2030A}">
      <text>
        <r>
          <rPr>
            <b/>
            <sz val="9"/>
            <color indexed="81"/>
            <rFont val="Tahoma"/>
            <family val="2"/>
          </rPr>
          <t>Bryan Hu:</t>
        </r>
        <r>
          <rPr>
            <sz val="9"/>
            <color indexed="81"/>
            <rFont val="Tahoma"/>
            <family val="2"/>
          </rPr>
          <t xml:space="preserve">
Manually entered: Avangrid, Inc.</t>
        </r>
      </text>
    </comment>
    <comment ref="C17" authorId="0" shapeId="0" xr:uid="{B4DECB02-C91A-4BBC-8385-F69C5540B255}">
      <text>
        <r>
          <rPr>
            <b/>
            <sz val="9"/>
            <color indexed="81"/>
            <rFont val="Tahoma"/>
            <family val="2"/>
          </rPr>
          <t>Bryan Hu:</t>
        </r>
        <r>
          <rPr>
            <sz val="9"/>
            <color indexed="81"/>
            <rFont val="Tahoma"/>
            <family val="2"/>
          </rPr>
          <t xml:space="preserve">
Manually entered: Avangrid, Inc.</t>
        </r>
      </text>
    </comment>
    <comment ref="E17" authorId="0" shapeId="0" xr:uid="{FFA602F4-5449-4C2F-914D-03E18067DD04}">
      <text>
        <r>
          <rPr>
            <b/>
            <sz val="9"/>
            <color indexed="81"/>
            <rFont val="Tahoma"/>
            <family val="2"/>
          </rPr>
          <t>Bryan Hu:</t>
        </r>
        <r>
          <rPr>
            <sz val="9"/>
            <color indexed="81"/>
            <rFont val="Tahoma"/>
            <family val="2"/>
          </rPr>
          <t xml:space="preserve">
2018 used as proxy for 2019</t>
        </r>
      </text>
    </comment>
    <comment ref="BL17" authorId="0" shapeId="0" xr:uid="{6A99E3BA-19BF-45B1-8B42-098120779BF8}">
      <text>
        <r>
          <rPr>
            <b/>
            <sz val="9"/>
            <color indexed="81"/>
            <rFont val="Tahoma"/>
            <family val="2"/>
          </rPr>
          <t>Bryan Hu:</t>
        </r>
        <r>
          <rPr>
            <sz val="9"/>
            <color indexed="81"/>
            <rFont val="Tahoma"/>
            <family val="2"/>
          </rPr>
          <t xml:space="preserve">
2018 used as proxy for 2019</t>
        </r>
      </text>
    </comment>
    <comment ref="EK17" authorId="0" shapeId="0" xr:uid="{9F3F1AAA-ADEB-411A-96D7-E400BF52EE5D}">
      <text>
        <r>
          <rPr>
            <b/>
            <sz val="9"/>
            <color indexed="81"/>
            <rFont val="Tahoma"/>
            <family val="2"/>
          </rPr>
          <t>Bryan Hu:</t>
        </r>
        <r>
          <rPr>
            <sz val="9"/>
            <color indexed="81"/>
            <rFont val="Tahoma"/>
            <family val="2"/>
          </rPr>
          <t xml:space="preserve">
2018 used as proxy for 2019. Source: SNL - Natural Gas Utility Balance Sheet - Net Utility Plant (Excluding Nuclear Fuel)</t>
        </r>
      </text>
    </comment>
    <comment ref="EQ17" authorId="0" shapeId="0" xr:uid="{E09018F4-9B22-480D-BC94-083C7777E2E2}">
      <text>
        <r>
          <rPr>
            <b/>
            <sz val="9"/>
            <color indexed="81"/>
            <rFont val="Tahoma"/>
            <family val="2"/>
          </rPr>
          <t>Bryan Hu:</t>
        </r>
        <r>
          <rPr>
            <sz val="9"/>
            <color indexed="81"/>
            <rFont val="Tahoma"/>
            <family val="2"/>
          </rPr>
          <t xml:space="preserve">
Manually entered: 593888. Source: SNL - Natural Gas Utility Balance Sheet - Net Utility Plant (Excluding Nuclear Fuel)</t>
        </r>
      </text>
    </comment>
    <comment ref="EW17" authorId="0" shapeId="0" xr:uid="{E5D9283B-1A6C-441F-9F0E-0C13495BD490}">
      <text>
        <r>
          <rPr>
            <b/>
            <sz val="9"/>
            <color indexed="81"/>
            <rFont val="Tahoma"/>
            <family val="2"/>
          </rPr>
          <t>Bryan Hu:</t>
        </r>
        <r>
          <rPr>
            <sz val="9"/>
            <color indexed="81"/>
            <rFont val="Tahoma"/>
            <family val="2"/>
          </rPr>
          <t xml:space="preserve">
Manually entered: 535873. Source: SNL - Natural Gas Utility Balance Sheet - Net Utility Plant (Excluding Nuclear Fuel)</t>
        </r>
      </text>
    </comment>
    <comment ref="C18" authorId="0" shapeId="0" xr:uid="{5EE08AFC-7B92-4018-8045-6619BE92D79F}">
      <text>
        <r>
          <rPr>
            <b/>
            <sz val="9"/>
            <color indexed="81"/>
            <rFont val="Tahoma"/>
            <family val="2"/>
          </rPr>
          <t>Bryan Hu:</t>
        </r>
        <r>
          <rPr>
            <sz val="9"/>
            <color indexed="81"/>
            <rFont val="Tahoma"/>
            <family val="2"/>
          </rPr>
          <t xml:space="preserve">
Manually entered: Avangrid, Inc.</t>
        </r>
      </text>
    </comment>
    <comment ref="E18" authorId="0" shapeId="0" xr:uid="{72E71B3B-3132-4851-871C-9154C3EB6327}">
      <text>
        <r>
          <rPr>
            <b/>
            <sz val="9"/>
            <color indexed="81"/>
            <rFont val="Tahoma"/>
            <family val="2"/>
          </rPr>
          <t>Bryan Hu:</t>
        </r>
        <r>
          <rPr>
            <sz val="9"/>
            <color indexed="81"/>
            <rFont val="Tahoma"/>
            <family val="2"/>
          </rPr>
          <t xml:space="preserve">
2018 used as proxy for 2019</t>
        </r>
      </text>
    </comment>
    <comment ref="BL18" authorId="0" shapeId="0" xr:uid="{4DE4F863-A772-439F-9030-6010E9D55F2A}">
      <text>
        <r>
          <rPr>
            <b/>
            <sz val="9"/>
            <color indexed="81"/>
            <rFont val="Tahoma"/>
            <family val="2"/>
          </rPr>
          <t>Bryan Hu:</t>
        </r>
        <r>
          <rPr>
            <sz val="9"/>
            <color indexed="81"/>
            <rFont val="Tahoma"/>
            <family val="2"/>
          </rPr>
          <t xml:space="preserve">
2018 used as proxy for 2019</t>
        </r>
      </text>
    </comment>
    <comment ref="EK18" authorId="0" shapeId="0" xr:uid="{6D1BF233-0045-440D-9BB0-4EC54F773222}">
      <text>
        <r>
          <rPr>
            <b/>
            <sz val="9"/>
            <color indexed="81"/>
            <rFont val="Tahoma"/>
            <family val="2"/>
          </rPr>
          <t>Bryan Hu:</t>
        </r>
        <r>
          <rPr>
            <sz val="9"/>
            <color indexed="81"/>
            <rFont val="Tahoma"/>
            <family val="2"/>
          </rPr>
          <t xml:space="preserve">
2018 used as proxy for 2019. Source: SNL - Natural Gas Utility Balance Sheet - Net Utility Plant (Excluding Nuclear Fuel)</t>
        </r>
      </text>
    </comment>
    <comment ref="EQ18" authorId="0" shapeId="0" xr:uid="{0821596A-2458-4B78-B891-A628207976F0}">
      <text>
        <r>
          <rPr>
            <b/>
            <sz val="9"/>
            <color indexed="81"/>
            <rFont val="Tahoma"/>
            <family val="2"/>
          </rPr>
          <t>Bryan Hu:</t>
        </r>
        <r>
          <rPr>
            <sz val="9"/>
            <color indexed="81"/>
            <rFont val="Tahoma"/>
            <family val="2"/>
          </rPr>
          <t xml:space="preserve">
Manually entered: 87259. Source: SNL - Natural Gas Utility Balance Sheet - Net Utility Plant (Excluding Nuclear Fuel)</t>
        </r>
      </text>
    </comment>
    <comment ref="EW18" authorId="0" shapeId="0" xr:uid="{F8F5E728-FA5F-4AA5-B1B4-D5F4FA4D38C8}">
      <text>
        <r>
          <rPr>
            <b/>
            <sz val="9"/>
            <color indexed="81"/>
            <rFont val="Tahoma"/>
            <family val="2"/>
          </rPr>
          <t>Bryan Hu:</t>
        </r>
        <r>
          <rPr>
            <sz val="9"/>
            <color indexed="81"/>
            <rFont val="Tahoma"/>
            <family val="2"/>
          </rPr>
          <t xml:space="preserve">
Manually entered: 84858. Source: SNL - Natural Gas Utility Balance Sheet - Net Utility Plant (Excluding Nuclear Fuel)</t>
        </r>
      </text>
    </comment>
    <comment ref="C19" authorId="0" shapeId="0" xr:uid="{2B2D620C-7C27-43F0-9A7E-BFEFF7718495}">
      <text>
        <r>
          <rPr>
            <b/>
            <sz val="9"/>
            <color indexed="81"/>
            <rFont val="Tahoma"/>
            <family val="2"/>
          </rPr>
          <t>Bryan Hu:</t>
        </r>
        <r>
          <rPr>
            <sz val="9"/>
            <color indexed="81"/>
            <rFont val="Tahoma"/>
            <family val="2"/>
          </rPr>
          <t xml:space="preserve">
Manually entered: Avangrid, Inc.</t>
        </r>
      </text>
    </comment>
    <comment ref="C20" authorId="0" shapeId="0" xr:uid="{42B99DC0-F497-47DA-AFEF-B421DCA99299}">
      <text>
        <r>
          <rPr>
            <b/>
            <sz val="9"/>
            <color indexed="81"/>
            <rFont val="Tahoma"/>
            <family val="2"/>
          </rPr>
          <t>Bryan Hu:</t>
        </r>
        <r>
          <rPr>
            <sz val="9"/>
            <color indexed="81"/>
            <rFont val="Tahoma"/>
            <family val="2"/>
          </rPr>
          <t xml:space="preserve">
Manually entered: Avangrid, Inc.</t>
        </r>
      </text>
    </comment>
    <comment ref="C21" authorId="0" shapeId="0" xr:uid="{A5CC436B-CF0D-41DB-A016-2C0BF9330605}">
      <text>
        <r>
          <rPr>
            <b/>
            <sz val="9"/>
            <color indexed="81"/>
            <rFont val="Tahoma"/>
            <family val="2"/>
          </rPr>
          <t>Bryan Hu:</t>
        </r>
        <r>
          <rPr>
            <sz val="9"/>
            <color indexed="81"/>
            <rFont val="Tahoma"/>
            <family val="2"/>
          </rPr>
          <t xml:space="preserve">
Manually entered: Avangrid, Inc.</t>
        </r>
      </text>
    </comment>
    <comment ref="E21" authorId="0" shapeId="0" xr:uid="{39F7C7D7-6272-42FF-AE06-DA4262D9F088}">
      <text>
        <r>
          <rPr>
            <b/>
            <sz val="9"/>
            <color indexed="81"/>
            <rFont val="Tahoma"/>
            <family val="2"/>
          </rPr>
          <t>Bryan Hu:</t>
        </r>
        <r>
          <rPr>
            <sz val="9"/>
            <color indexed="81"/>
            <rFont val="Tahoma"/>
            <family val="2"/>
          </rPr>
          <t xml:space="preserve">
2018 used as proxy for 2019</t>
        </r>
      </text>
    </comment>
    <comment ref="BL21" authorId="0" shapeId="0" xr:uid="{1713CDD7-7165-43BE-ADCD-3B105BCB378B}">
      <text>
        <r>
          <rPr>
            <b/>
            <sz val="9"/>
            <color indexed="81"/>
            <rFont val="Tahoma"/>
            <family val="2"/>
          </rPr>
          <t>Bryan Hu:</t>
        </r>
        <r>
          <rPr>
            <sz val="9"/>
            <color indexed="81"/>
            <rFont val="Tahoma"/>
            <family val="2"/>
          </rPr>
          <t xml:space="preserve">
2018 used as proxy for 2019</t>
        </r>
      </text>
    </comment>
    <comment ref="EK21" authorId="0" shapeId="0" xr:uid="{63D66905-8734-431B-887F-27CFD7C89996}">
      <text>
        <r>
          <rPr>
            <b/>
            <sz val="9"/>
            <color indexed="81"/>
            <rFont val="Tahoma"/>
            <family val="2"/>
          </rPr>
          <t>Bryan Hu:</t>
        </r>
        <r>
          <rPr>
            <sz val="9"/>
            <color indexed="81"/>
            <rFont val="Tahoma"/>
            <family val="2"/>
          </rPr>
          <t xml:space="preserve">
2018 used as proxy for 2019. Source: SNL - Natural Gas Utility Balance Sheet - Net Utility Plant (Excluding Nuclear Fuel)</t>
        </r>
      </text>
    </comment>
    <comment ref="EQ21" authorId="0" shapeId="0" xr:uid="{2B9F91AD-E15F-4860-BBBF-066C0B9D4CFF}">
      <text>
        <r>
          <rPr>
            <b/>
            <sz val="9"/>
            <color indexed="81"/>
            <rFont val="Tahoma"/>
            <family val="2"/>
          </rPr>
          <t>Bryan Hu:</t>
        </r>
        <r>
          <rPr>
            <sz val="9"/>
            <color indexed="81"/>
            <rFont val="Tahoma"/>
            <family val="2"/>
          </rPr>
          <t xml:space="preserve">
Manually entered: 778745. Source: SNL - Natural Gas Utility Balance Sheet - Net Utility Plant (Excluding Nuclear Fuel)</t>
        </r>
      </text>
    </comment>
    <comment ref="EW21" authorId="0" shapeId="0" xr:uid="{FB642327-CBE8-45A1-87E5-2328D3510D6E}">
      <text>
        <r>
          <rPr>
            <b/>
            <sz val="9"/>
            <color indexed="81"/>
            <rFont val="Tahoma"/>
            <family val="2"/>
          </rPr>
          <t>Bryan Hu:</t>
        </r>
        <r>
          <rPr>
            <sz val="9"/>
            <color indexed="81"/>
            <rFont val="Tahoma"/>
            <family val="2"/>
          </rPr>
          <t xml:space="preserve">
Manually entered: 714445. Source: SNL - Natural Gas Utility Balance Sheet - Net Utility Plant (Excluding Nuclear Fuel)</t>
        </r>
      </text>
    </comment>
    <comment ref="C22" authorId="0" shapeId="0" xr:uid="{F8B52B56-EEF1-43FC-B8ED-872DEDB6ABA5}">
      <text>
        <r>
          <rPr>
            <b/>
            <sz val="9"/>
            <color indexed="81"/>
            <rFont val="Tahoma"/>
            <family val="2"/>
          </rPr>
          <t>Bryan Hu:</t>
        </r>
        <r>
          <rPr>
            <sz val="9"/>
            <color indexed="81"/>
            <rFont val="Tahoma"/>
            <family val="2"/>
          </rPr>
          <t xml:space="preserve">
Manually entered: Avangrid, Inc.</t>
        </r>
      </text>
    </comment>
    <comment ref="C24" authorId="0" shapeId="0" xr:uid="{8DACCF54-3135-4311-B503-FF83A4E2DED3}">
      <text>
        <r>
          <rPr>
            <b/>
            <sz val="9"/>
            <color indexed="81"/>
            <rFont val="Tahoma"/>
            <family val="2"/>
          </rPr>
          <t>Bryan Hu:</t>
        </r>
        <r>
          <rPr>
            <sz val="9"/>
            <color indexed="81"/>
            <rFont val="Tahoma"/>
            <family val="2"/>
          </rPr>
          <t xml:space="preserve">
Manually entered: Avista Corporation</t>
        </r>
      </text>
    </comment>
    <comment ref="E41" authorId="0" shapeId="0" xr:uid="{788D87E0-2EDD-4B28-81F5-5887120576D2}">
      <text>
        <r>
          <rPr>
            <b/>
            <sz val="9"/>
            <color indexed="81"/>
            <rFont val="Tahoma"/>
            <family val="2"/>
          </rPr>
          <t>Bryan Hu:</t>
        </r>
        <r>
          <rPr>
            <sz val="9"/>
            <color indexed="81"/>
            <rFont val="Tahoma"/>
            <family val="2"/>
          </rPr>
          <t xml:space="preserve">
2018 used as proxy for 2019</t>
        </r>
      </text>
    </comment>
    <comment ref="BL41" authorId="0" shapeId="0" xr:uid="{3D39C1A8-4481-421C-90BE-DC39F5262BB1}">
      <text>
        <r>
          <rPr>
            <b/>
            <sz val="9"/>
            <color indexed="81"/>
            <rFont val="Tahoma"/>
            <family val="2"/>
          </rPr>
          <t>Bryan Hu:</t>
        </r>
        <r>
          <rPr>
            <sz val="9"/>
            <color indexed="81"/>
            <rFont val="Tahoma"/>
            <family val="2"/>
          </rPr>
          <t xml:space="preserve">
2018 used as proxy for 2019</t>
        </r>
      </text>
    </comment>
    <comment ref="EK41" authorId="0" shapeId="0" xr:uid="{961A184F-B07B-48C2-84F1-E61DF628934B}">
      <text>
        <r>
          <rPr>
            <b/>
            <sz val="9"/>
            <color indexed="81"/>
            <rFont val="Tahoma"/>
            <family val="2"/>
          </rPr>
          <t>Bryan Hu:</t>
        </r>
        <r>
          <rPr>
            <sz val="9"/>
            <color indexed="81"/>
            <rFont val="Tahoma"/>
            <family val="2"/>
          </rPr>
          <t xml:space="preserve">
2018 used as proxy for 2019. Source: SNL - Natural Gas Utility Balance Sheet - Net Utility Plant (Excluding Nuclear Fuel)</t>
        </r>
      </text>
    </comment>
    <comment ref="EQ41" authorId="0" shapeId="0" xr:uid="{6DA10E0C-8186-4214-A7F7-5F7D7F0B5439}">
      <text>
        <r>
          <rPr>
            <b/>
            <sz val="9"/>
            <color indexed="81"/>
            <rFont val="Tahoma"/>
            <family val="2"/>
          </rPr>
          <t>Bryan Hu:</t>
        </r>
        <r>
          <rPr>
            <sz val="9"/>
            <color indexed="81"/>
            <rFont val="Tahoma"/>
            <family val="2"/>
          </rPr>
          <t xml:space="preserve">
Manually entered: 247079. Source: SNL - Natural Gas Utility Balance Sheet - Net Utility Plant (Excluding Nuclear Fuel)</t>
        </r>
      </text>
    </comment>
    <comment ref="EW41" authorId="0" shapeId="0" xr:uid="{850760C1-11C8-4A3F-AD1E-AA0A27285B17}">
      <text>
        <r>
          <rPr>
            <b/>
            <sz val="9"/>
            <color indexed="81"/>
            <rFont val="Tahoma"/>
            <family val="2"/>
          </rPr>
          <t>Bryan Hu:</t>
        </r>
        <r>
          <rPr>
            <sz val="9"/>
            <color indexed="81"/>
            <rFont val="Tahoma"/>
            <family val="2"/>
          </rPr>
          <t xml:space="preserve">
Manually entered: 224049. Source: SNL - Natural Gas Utility Balance Sheet - Net Utility Plant (Excluding Nuclear Fuel)</t>
        </r>
      </text>
    </comment>
    <comment ref="E42" authorId="0" shapeId="0" xr:uid="{FC840974-5DCB-42A3-8E07-8D58E49C0E5A}">
      <text>
        <r>
          <rPr>
            <b/>
            <sz val="9"/>
            <color indexed="81"/>
            <rFont val="Tahoma"/>
            <family val="2"/>
          </rPr>
          <t>Bryan Hu:</t>
        </r>
        <r>
          <rPr>
            <sz val="9"/>
            <color indexed="81"/>
            <rFont val="Tahoma"/>
            <family val="2"/>
          </rPr>
          <t xml:space="preserve">
2018 used as proxy for 2019</t>
        </r>
      </text>
    </comment>
    <comment ref="BL42" authorId="0" shapeId="0" xr:uid="{A070B74F-6644-4B70-B340-6A7A4B3F1755}">
      <text>
        <r>
          <rPr>
            <b/>
            <sz val="9"/>
            <color indexed="81"/>
            <rFont val="Tahoma"/>
            <family val="2"/>
          </rPr>
          <t>Bryan Hu:</t>
        </r>
        <r>
          <rPr>
            <sz val="9"/>
            <color indexed="81"/>
            <rFont val="Tahoma"/>
            <family val="2"/>
          </rPr>
          <t xml:space="preserve">
2018 used as proxy for 2019</t>
        </r>
      </text>
    </comment>
    <comment ref="E43" authorId="0" shapeId="0" xr:uid="{9A786CC9-8669-4A5B-B7ED-2F5B25F0A8E4}">
      <text>
        <r>
          <rPr>
            <b/>
            <sz val="9"/>
            <color indexed="81"/>
            <rFont val="Tahoma"/>
            <family val="2"/>
          </rPr>
          <t>Bryan Hu:</t>
        </r>
        <r>
          <rPr>
            <sz val="9"/>
            <color indexed="81"/>
            <rFont val="Tahoma"/>
            <family val="2"/>
          </rPr>
          <t xml:space="preserve">
2018 used as proxy for 2019</t>
        </r>
      </text>
    </comment>
    <comment ref="BL43" authorId="0" shapeId="0" xr:uid="{A6C1E252-7DAE-48D4-8C43-1EEE9FEDCA1F}">
      <text>
        <r>
          <rPr>
            <b/>
            <sz val="9"/>
            <color indexed="81"/>
            <rFont val="Tahoma"/>
            <family val="2"/>
          </rPr>
          <t>Bryan Hu:</t>
        </r>
        <r>
          <rPr>
            <sz val="9"/>
            <color indexed="81"/>
            <rFont val="Tahoma"/>
            <family val="2"/>
          </rPr>
          <t xml:space="preserve">
2018 used as proxy for 2019</t>
        </r>
      </text>
    </comment>
    <comment ref="EK43" authorId="0" shapeId="0" xr:uid="{0D5F8668-B443-4971-B8B9-7A5BB8460BA9}">
      <text>
        <r>
          <rPr>
            <b/>
            <sz val="9"/>
            <color indexed="81"/>
            <rFont val="Tahoma"/>
            <family val="2"/>
          </rPr>
          <t>Bryan Hu:</t>
        </r>
        <r>
          <rPr>
            <sz val="9"/>
            <color indexed="81"/>
            <rFont val="Tahoma"/>
            <family val="2"/>
          </rPr>
          <t xml:space="preserve">
2018 used as proxy for 2019. Source: SNL - Natural Gas Utility Balance Sheet - Net Utility Plant (Excluding Nuclear Fuel)</t>
        </r>
      </text>
    </comment>
    <comment ref="EQ43" authorId="0" shapeId="0" xr:uid="{E2F86854-6904-4A33-AC51-802B24756B5F}">
      <text>
        <r>
          <rPr>
            <b/>
            <sz val="9"/>
            <color indexed="81"/>
            <rFont val="Tahoma"/>
            <family val="2"/>
          </rPr>
          <t>Bryan Hu:</t>
        </r>
        <r>
          <rPr>
            <sz val="9"/>
            <color indexed="81"/>
            <rFont val="Tahoma"/>
            <family val="2"/>
          </rPr>
          <t xml:space="preserve">
Manually entered: 418899. Source: SNL - Natural Gas Utility Balance Sheet - Net Utility Plant (Excluding Nuclear Fuel)</t>
        </r>
      </text>
    </comment>
    <comment ref="EW43" authorId="0" shapeId="0" xr:uid="{901C211F-A456-424D-B7BF-730D842EEF71}">
      <text>
        <r>
          <rPr>
            <b/>
            <sz val="9"/>
            <color indexed="81"/>
            <rFont val="Tahoma"/>
            <family val="2"/>
          </rPr>
          <t>Bryan Hu:</t>
        </r>
        <r>
          <rPr>
            <sz val="9"/>
            <color indexed="81"/>
            <rFont val="Tahoma"/>
            <family val="2"/>
          </rPr>
          <t xml:space="preserve">
Manually entered: 376964. Source: SNL - Natural Gas Utility Balance Sheet - Net Utility Plant (Excluding Nuclear Fuel)</t>
        </r>
      </text>
    </comment>
    <comment ref="E44" authorId="0" shapeId="0" xr:uid="{6097127A-DEB4-4043-835B-1E8FCAC70048}">
      <text>
        <r>
          <rPr>
            <b/>
            <sz val="9"/>
            <color indexed="81"/>
            <rFont val="Tahoma"/>
            <family val="2"/>
          </rPr>
          <t>Bryan Hu:</t>
        </r>
        <r>
          <rPr>
            <sz val="9"/>
            <color indexed="81"/>
            <rFont val="Tahoma"/>
            <family val="2"/>
          </rPr>
          <t xml:space="preserve">
2018 used as proxy for 2019</t>
        </r>
      </text>
    </comment>
    <comment ref="BL44" authorId="0" shapeId="0" xr:uid="{4FD78E59-9629-4A70-A121-0A01A25E1536}">
      <text>
        <r>
          <rPr>
            <b/>
            <sz val="9"/>
            <color indexed="81"/>
            <rFont val="Tahoma"/>
            <family val="2"/>
          </rPr>
          <t>Bryan Hu:</t>
        </r>
        <r>
          <rPr>
            <sz val="9"/>
            <color indexed="81"/>
            <rFont val="Tahoma"/>
            <family val="2"/>
          </rPr>
          <t xml:space="preserve">
2018 used as proxy for 2019</t>
        </r>
      </text>
    </comment>
    <comment ref="EK44" authorId="0" shapeId="0" xr:uid="{0C755957-6AB4-416D-A2BA-DEE140F79298}">
      <text>
        <r>
          <rPr>
            <b/>
            <sz val="9"/>
            <color indexed="81"/>
            <rFont val="Tahoma"/>
            <family val="2"/>
          </rPr>
          <t>Bryan Hu:</t>
        </r>
        <r>
          <rPr>
            <sz val="9"/>
            <color indexed="81"/>
            <rFont val="Tahoma"/>
            <family val="2"/>
          </rPr>
          <t xml:space="preserve">
2018 used as proxy for 2019. Source: SNL - Natural Gas Utility Balance Sheet - Net Utility Plant (Excluding Nuclear Fuel)</t>
        </r>
      </text>
    </comment>
    <comment ref="EQ44" authorId="0" shapeId="0" xr:uid="{AA0272DA-E083-4570-BE62-BCED0B7AC2B0}">
      <text>
        <r>
          <rPr>
            <b/>
            <sz val="9"/>
            <color indexed="81"/>
            <rFont val="Tahoma"/>
            <family val="2"/>
          </rPr>
          <t>Bryan Hu:</t>
        </r>
        <r>
          <rPr>
            <sz val="9"/>
            <color indexed="81"/>
            <rFont val="Tahoma"/>
            <family val="2"/>
          </rPr>
          <t xml:space="preserve">
Manually entered: 3692292. Source: SNL - Natural Gas Utility Balance Sheet - Net Utility Plant (Excluding Nuclear Fuel)</t>
        </r>
      </text>
    </comment>
    <comment ref="EW44" authorId="0" shapeId="0" xr:uid="{D42D4F7E-A675-4460-912D-B7052F577620}">
      <text>
        <r>
          <rPr>
            <b/>
            <sz val="9"/>
            <color indexed="81"/>
            <rFont val="Tahoma"/>
            <family val="2"/>
          </rPr>
          <t>Bryan Hu:</t>
        </r>
        <r>
          <rPr>
            <sz val="9"/>
            <color indexed="81"/>
            <rFont val="Tahoma"/>
            <family val="2"/>
          </rPr>
          <t xml:space="preserve">
Manually entered: 3480473. Source: SNL - Natural Gas Utility Balance Sheet - Net Utility Plant (Excluding Nuclear Fuel)</t>
        </r>
      </text>
    </comment>
    <comment ref="E46" authorId="0" shapeId="0" xr:uid="{74AD86AB-4388-4DEA-A9D7-291B6F93EED0}">
      <text>
        <r>
          <rPr>
            <b/>
            <sz val="9"/>
            <color indexed="81"/>
            <rFont val="Tahoma"/>
            <family val="2"/>
          </rPr>
          <t>Bryan Hu:</t>
        </r>
        <r>
          <rPr>
            <sz val="9"/>
            <color indexed="81"/>
            <rFont val="Tahoma"/>
            <family val="2"/>
          </rPr>
          <t xml:space="preserve">
2018 used as proxy for 2019</t>
        </r>
      </text>
    </comment>
    <comment ref="BL46" authorId="0" shapeId="0" xr:uid="{44B1F2BA-9780-40E5-BF36-07EF00CB770F}">
      <text>
        <r>
          <rPr>
            <b/>
            <sz val="9"/>
            <color indexed="81"/>
            <rFont val="Tahoma"/>
            <family val="2"/>
          </rPr>
          <t>Bryan Hu:</t>
        </r>
        <r>
          <rPr>
            <sz val="9"/>
            <color indexed="81"/>
            <rFont val="Tahoma"/>
            <family val="2"/>
          </rPr>
          <t xml:space="preserve">
2018 used as proxy for 2019</t>
        </r>
      </text>
    </comment>
    <comment ref="EK46" authorId="0" shapeId="0" xr:uid="{28276896-BF7E-480B-A778-84B514052ABB}">
      <text>
        <r>
          <rPr>
            <b/>
            <sz val="9"/>
            <color indexed="81"/>
            <rFont val="Tahoma"/>
            <family val="2"/>
          </rPr>
          <t>Bryan Hu:</t>
        </r>
        <r>
          <rPr>
            <sz val="9"/>
            <color indexed="81"/>
            <rFont val="Tahoma"/>
            <family val="2"/>
          </rPr>
          <t xml:space="preserve">
2018 used as proxy for 2019. Source: SNL - Natural Gas Utility Balance Sheet - Net Utility Plant (Excluding Nuclear Fuel)</t>
        </r>
      </text>
    </comment>
    <comment ref="EQ46" authorId="0" shapeId="0" xr:uid="{7DC9B82E-C60C-48ED-9C5E-623C3427F0E9}">
      <text>
        <r>
          <rPr>
            <b/>
            <sz val="9"/>
            <color indexed="81"/>
            <rFont val="Tahoma"/>
            <family val="2"/>
          </rPr>
          <t>Bryan Hu:</t>
        </r>
        <r>
          <rPr>
            <sz val="9"/>
            <color indexed="81"/>
            <rFont val="Tahoma"/>
            <family val="2"/>
          </rPr>
          <t xml:space="preserve">
Manually entered: 1498452. Source: SNL - Natural Gas Utility Balance Sheet - Net Utility Plant (Excluding Nuclear Fuel)</t>
        </r>
      </text>
    </comment>
    <comment ref="EW46" authorId="0" shapeId="0" xr:uid="{42736E3F-AE68-4B9F-A74D-C9EB0A9486AB}">
      <text>
        <r>
          <rPr>
            <b/>
            <sz val="9"/>
            <color indexed="81"/>
            <rFont val="Tahoma"/>
            <family val="2"/>
          </rPr>
          <t>Bryan Hu:</t>
        </r>
        <r>
          <rPr>
            <sz val="9"/>
            <color indexed="81"/>
            <rFont val="Tahoma"/>
            <family val="2"/>
          </rPr>
          <t xml:space="preserve">
Manually entered: 1372974. Source: SNL - Natural Gas Utility Balance Sheet - Net Utility Plant (Excluding Nuclear Fuel)</t>
        </r>
      </text>
    </comment>
    <comment ref="E54" authorId="0" shapeId="0" xr:uid="{766FB71D-A54A-4899-9009-A1B2E6D2D3DD}">
      <text>
        <r>
          <rPr>
            <b/>
            <sz val="9"/>
            <color indexed="81"/>
            <rFont val="Tahoma"/>
            <family val="2"/>
          </rPr>
          <t>Bryan Hu:</t>
        </r>
        <r>
          <rPr>
            <sz val="9"/>
            <color indexed="81"/>
            <rFont val="Tahoma"/>
            <family val="2"/>
          </rPr>
          <t xml:space="preserve">
2018 used as proxy for 2019</t>
        </r>
      </text>
    </comment>
    <comment ref="BL54" authorId="0" shapeId="0" xr:uid="{B699F704-5D5B-4E09-98F7-9EBC84FB9047}">
      <text>
        <r>
          <rPr>
            <b/>
            <sz val="9"/>
            <color indexed="81"/>
            <rFont val="Tahoma"/>
            <family val="2"/>
          </rPr>
          <t>Bryan Hu:</t>
        </r>
        <r>
          <rPr>
            <sz val="9"/>
            <color indexed="81"/>
            <rFont val="Tahoma"/>
            <family val="2"/>
          </rPr>
          <t xml:space="preserve">
2018 used as proxy for 2019</t>
        </r>
      </text>
    </comment>
    <comment ref="EK54" authorId="0" shapeId="0" xr:uid="{D8AF8515-AE74-47CE-A77D-380A28CDD263}">
      <text>
        <r>
          <rPr>
            <b/>
            <sz val="9"/>
            <color indexed="81"/>
            <rFont val="Tahoma"/>
            <family val="2"/>
          </rPr>
          <t>Bryan Hu:</t>
        </r>
        <r>
          <rPr>
            <sz val="9"/>
            <color indexed="81"/>
            <rFont val="Tahoma"/>
            <family val="2"/>
          </rPr>
          <t xml:space="preserve">
2018 used as proxy for 2019. Source: SNL - Natural Gas Utility Balance Sheet - Net Utility Plant (Excluding Nuclear Fuel)</t>
        </r>
      </text>
    </comment>
    <comment ref="EQ54" authorId="0" shapeId="0" xr:uid="{1123B840-44FA-406D-902D-B13226C4D4A6}">
      <text>
        <r>
          <rPr>
            <b/>
            <sz val="9"/>
            <color indexed="81"/>
            <rFont val="Tahoma"/>
            <family val="2"/>
          </rPr>
          <t>Bryan Hu:</t>
        </r>
        <r>
          <rPr>
            <sz val="9"/>
            <color indexed="81"/>
            <rFont val="Tahoma"/>
            <family val="2"/>
          </rPr>
          <t xml:space="preserve">
Manually entered: 643300. Source: SNL - Natural Gas Utility Balance Sheet - Net Utility Plant (Excluding Nuclear Fuel)</t>
        </r>
      </text>
    </comment>
    <comment ref="EW54" authorId="0" shapeId="0" xr:uid="{15BC4B2F-1FB2-41B8-A497-EFA915EB34AF}">
      <text>
        <r>
          <rPr>
            <b/>
            <sz val="9"/>
            <color indexed="81"/>
            <rFont val="Tahoma"/>
            <family val="2"/>
          </rPr>
          <t>Bryan Hu:</t>
        </r>
        <r>
          <rPr>
            <sz val="9"/>
            <color indexed="81"/>
            <rFont val="Tahoma"/>
            <family val="2"/>
          </rPr>
          <t xml:space="preserve">
Manually entered: 605137. Source: SNL - Natural Gas Utility Balance Sheet - Net Utility Plant (Excluding Nuclear Fuel)</t>
        </r>
      </text>
    </comment>
    <comment ref="E55" authorId="0" shapeId="0" xr:uid="{29EB35BA-528B-4261-91D5-DE5E6AE3A215}">
      <text>
        <r>
          <rPr>
            <b/>
            <sz val="9"/>
            <color indexed="81"/>
            <rFont val="Tahoma"/>
            <family val="2"/>
          </rPr>
          <t>Bryan Hu:</t>
        </r>
        <r>
          <rPr>
            <sz val="9"/>
            <color indexed="81"/>
            <rFont val="Tahoma"/>
            <family val="2"/>
          </rPr>
          <t xml:space="preserve">
2018 used as proxy for 2019</t>
        </r>
      </text>
    </comment>
    <comment ref="BL55" authorId="0" shapeId="0" xr:uid="{AFCDC8C7-3413-4892-987D-EE94ED2F0D30}">
      <text>
        <r>
          <rPr>
            <b/>
            <sz val="9"/>
            <color indexed="81"/>
            <rFont val="Tahoma"/>
            <family val="2"/>
          </rPr>
          <t>Bryan Hu:</t>
        </r>
        <r>
          <rPr>
            <sz val="9"/>
            <color indexed="81"/>
            <rFont val="Tahoma"/>
            <family val="2"/>
          </rPr>
          <t xml:space="preserve">
2018 used as proxy for 2019</t>
        </r>
      </text>
    </comment>
    <comment ref="EK55" authorId="0" shapeId="0" xr:uid="{55F3A70F-7470-4DFD-8D8A-65B352CE23B3}">
      <text>
        <r>
          <rPr>
            <b/>
            <sz val="9"/>
            <color indexed="81"/>
            <rFont val="Tahoma"/>
            <family val="2"/>
          </rPr>
          <t>Bryan Hu:</t>
        </r>
        <r>
          <rPr>
            <sz val="9"/>
            <color indexed="81"/>
            <rFont val="Tahoma"/>
            <family val="2"/>
          </rPr>
          <t xml:space="preserve">
2018 used as proxy for 2019. Source: SNL - Natural Gas Utility Balance Sheet - Net Utility Plant (Excluding Nuclear Fuel)</t>
        </r>
      </text>
    </comment>
    <comment ref="EQ55" authorId="0" shapeId="0" xr:uid="{CECDE86A-C462-406C-BB44-FDEB3182DA53}">
      <text>
        <r>
          <rPr>
            <b/>
            <sz val="9"/>
            <color indexed="81"/>
            <rFont val="Tahoma"/>
            <family val="2"/>
          </rPr>
          <t>Bryan Hu:</t>
        </r>
        <r>
          <rPr>
            <sz val="9"/>
            <color indexed="81"/>
            <rFont val="Tahoma"/>
            <family val="2"/>
          </rPr>
          <t xml:space="preserve">
Manually entered: 1043602. Source: SNL - Natural Gas Utility Balance Sheet - Net Utility Plant (Excluding Nuclear Fuel)</t>
        </r>
      </text>
    </comment>
    <comment ref="EW55" authorId="0" shapeId="0" xr:uid="{F0EB1742-A99C-4CF0-8A19-75CB37601095}">
      <text>
        <r>
          <rPr>
            <b/>
            <sz val="9"/>
            <color indexed="81"/>
            <rFont val="Tahoma"/>
            <family val="2"/>
          </rPr>
          <t>Bryan Hu:</t>
        </r>
        <r>
          <rPr>
            <sz val="9"/>
            <color indexed="81"/>
            <rFont val="Tahoma"/>
            <family val="2"/>
          </rPr>
          <t xml:space="preserve">
Manually entered: 923242. Source: SNL - Natural Gas Utility Balance Sheet - Net Utility Plant (Excluding Nuclear Fuel)</t>
        </r>
      </text>
    </comment>
  </commentList>
</comments>
</file>

<file path=xl/sharedStrings.xml><?xml version="1.0" encoding="utf-8"?>
<sst xmlns="http://schemas.openxmlformats.org/spreadsheetml/2006/main" count="2829" uniqueCount="607">
  <si>
    <t>[1]</t>
  </si>
  <si>
    <t>[2]</t>
  </si>
  <si>
    <t>[3]</t>
  </si>
  <si>
    <t>[4]</t>
  </si>
  <si>
    <t>[5]</t>
  </si>
  <si>
    <t>[6]</t>
  </si>
  <si>
    <t>[7]</t>
  </si>
  <si>
    <t>Company</t>
  </si>
  <si>
    <t>Ticker</t>
  </si>
  <si>
    <t>Dividends</t>
  </si>
  <si>
    <t>Covered by More Than 1 Analyst</t>
  </si>
  <si>
    <t>Generation</t>
  </si>
  <si>
    <t>Pass Screen?</t>
  </si>
  <si>
    <t>ALLETE, Inc.</t>
  </si>
  <si>
    <t>ALE</t>
  </si>
  <si>
    <t>Yes</t>
  </si>
  <si>
    <t>BBB</t>
  </si>
  <si>
    <t>No</t>
  </si>
  <si>
    <t>Alliant Energy Corporation</t>
  </si>
  <si>
    <t>LNT</t>
  </si>
  <si>
    <t>A-</t>
  </si>
  <si>
    <t>Ameren Corporation</t>
  </si>
  <si>
    <t>AEE</t>
  </si>
  <si>
    <t>BBB+</t>
  </si>
  <si>
    <t>American Electric Power Company, Inc.</t>
  </si>
  <si>
    <t>AEP</t>
  </si>
  <si>
    <t>Avangrid, Inc.</t>
  </si>
  <si>
    <t>AGR</t>
  </si>
  <si>
    <t>Avista Corporation</t>
  </si>
  <si>
    <t>AVA</t>
  </si>
  <si>
    <t>Black Hills Corporation</t>
  </si>
  <si>
    <t>BKH</t>
  </si>
  <si>
    <t>CenterPoint Energy, Inc.</t>
  </si>
  <si>
    <t>CNP</t>
  </si>
  <si>
    <t>CMS Energy Corporation</t>
  </si>
  <si>
    <t>CMS</t>
  </si>
  <si>
    <t>Consolidated Edison, Inc.</t>
  </si>
  <si>
    <t>ED</t>
  </si>
  <si>
    <t>Dominion Resources, Inc.</t>
  </si>
  <si>
    <t>D</t>
  </si>
  <si>
    <t>DTE Energy Company</t>
  </si>
  <si>
    <t>DTE</t>
  </si>
  <si>
    <t>Duke Energy Corporation</t>
  </si>
  <si>
    <t>DUK</t>
  </si>
  <si>
    <t>Edison International</t>
  </si>
  <si>
    <t>EIX</t>
  </si>
  <si>
    <t>Entergy Corporation</t>
  </si>
  <si>
    <t>ETR</t>
  </si>
  <si>
    <t>Eversource Energy</t>
  </si>
  <si>
    <t>ES</t>
  </si>
  <si>
    <t>Exelon Corporation</t>
  </si>
  <si>
    <t>EXC</t>
  </si>
  <si>
    <t>FirstEnergy Corporation</t>
  </si>
  <si>
    <t>FE</t>
  </si>
  <si>
    <t>BBB-</t>
  </si>
  <si>
    <t xml:space="preserve">Evergy, Inc. </t>
  </si>
  <si>
    <t>EVRG</t>
  </si>
  <si>
    <t>Hawaiian Electric Industries, Inc.</t>
  </si>
  <si>
    <t>HE</t>
  </si>
  <si>
    <t>IDACORP, Inc.</t>
  </si>
  <si>
    <t>IDA</t>
  </si>
  <si>
    <t>MGE Energy, Inc.</t>
  </si>
  <si>
    <t>MGEE</t>
  </si>
  <si>
    <t>AA-</t>
  </si>
  <si>
    <t>NextEra Energy, Inc.</t>
  </si>
  <si>
    <t>NEE</t>
  </si>
  <si>
    <t>NorthWestern Corporation</t>
  </si>
  <si>
    <t>NWE</t>
  </si>
  <si>
    <t>OGE Energy Corporation</t>
  </si>
  <si>
    <t>OGE</t>
  </si>
  <si>
    <t>Otter Tail Corporation</t>
  </si>
  <si>
    <t>OTTR</t>
  </si>
  <si>
    <t>PG&amp;E Corporation</t>
  </si>
  <si>
    <t>PCG</t>
  </si>
  <si>
    <t>BB-</t>
  </si>
  <si>
    <t>Pinnacle West Capital Corporation</t>
  </si>
  <si>
    <t>PNW</t>
  </si>
  <si>
    <t>PNM Resources, Inc.</t>
  </si>
  <si>
    <t>PNM</t>
  </si>
  <si>
    <t>Portland General Electric Company</t>
  </si>
  <si>
    <t>POR</t>
  </si>
  <si>
    <t>PPL Corporation</t>
  </si>
  <si>
    <t>PPL</t>
  </si>
  <si>
    <t>Public Service Enterprise Group Inc.</t>
  </si>
  <si>
    <t>PEG</t>
  </si>
  <si>
    <t>Sempra Energy</t>
  </si>
  <si>
    <t>SRE</t>
  </si>
  <si>
    <t>Southern Company</t>
  </si>
  <si>
    <t>SO</t>
  </si>
  <si>
    <t>Wisconsin Energy Corporation</t>
  </si>
  <si>
    <t>WEC</t>
  </si>
  <si>
    <t>Xcel Energy Inc.</t>
  </si>
  <si>
    <t>XEL</t>
  </si>
  <si>
    <t>Notes:</t>
  </si>
  <si>
    <t>[1] Source: Bloomberg Professional</t>
  </si>
  <si>
    <t>[3] Source: Yahoo! Finance and Zacks</t>
  </si>
  <si>
    <t>Total</t>
  </si>
  <si>
    <t>Regulated Operations Total</t>
  </si>
  <si>
    <t>ALLETE clean Energy</t>
  </si>
  <si>
    <t>US Water Services</t>
  </si>
  <si>
    <t>Corporate and Other</t>
  </si>
  <si>
    <t>Eliminations</t>
  </si>
  <si>
    <t>Percent Regulated</t>
  </si>
  <si>
    <t>Percent Electric Regulated / Total Regulated</t>
  </si>
  <si>
    <t>Percent Gas Dist. / Regulated</t>
  </si>
  <si>
    <t>Percent Electric T&amp;D / Total</t>
  </si>
  <si>
    <t>Percent Gas Dist. / Total</t>
  </si>
  <si>
    <t>Revenue</t>
  </si>
  <si>
    <t>-</t>
  </si>
  <si>
    <t>Operating Income</t>
  </si>
  <si>
    <t>Assets</t>
  </si>
  <si>
    <t>Utility</t>
  </si>
  <si>
    <t>Non-Regulated</t>
  </si>
  <si>
    <t>Utility Electric Operations</t>
  </si>
  <si>
    <t>Utility Gas Operations</t>
  </si>
  <si>
    <t>Utility Other</t>
  </si>
  <si>
    <t>ATC Holdings, Non-utility, Parent and Other</t>
  </si>
  <si>
    <t>Ameren Missouri 
Trans. (Other)</t>
  </si>
  <si>
    <t>Ameren Illinois Electric</t>
  </si>
  <si>
    <t>Ameren Illinois Natural Gas</t>
  </si>
  <si>
    <t>Ameren Transmission</t>
  </si>
  <si>
    <t>Other / Intersegment Eliminations</t>
  </si>
  <si>
    <t>Vertically Integrated Utilities</t>
  </si>
  <si>
    <t>Transmission and Distribution Utilities</t>
  </si>
  <si>
    <t>AEP Transmission Holdco</t>
  </si>
  <si>
    <t>Generation and Marketing</t>
  </si>
  <si>
    <t>Reconciling Adjustments</t>
  </si>
  <si>
    <t>(In thousands)</t>
  </si>
  <si>
    <t>Networks</t>
  </si>
  <si>
    <t>Renewables</t>
  </si>
  <si>
    <t>Other</t>
  </si>
  <si>
    <t>Avista Utilities</t>
  </si>
  <si>
    <t>Alaska Electric Light and Power Company</t>
  </si>
  <si>
    <t>Intersegment Eliminations</t>
  </si>
  <si>
    <t>Electric Utility</t>
  </si>
  <si>
    <t>Gas Utility</t>
  </si>
  <si>
    <t>Power Generation</t>
  </si>
  <si>
    <t>Mining</t>
  </si>
  <si>
    <t>Corporate</t>
  </si>
  <si>
    <t>Inter-company Eliminations</t>
  </si>
  <si>
    <t>Discontinued Operations</t>
  </si>
  <si>
    <t>Electric</t>
  </si>
  <si>
    <t>Natural Gas</t>
  </si>
  <si>
    <t>Corporate and Other, Net of Eliminations</t>
  </si>
  <si>
    <t>Assets held for Sale/Discontinued Operations</t>
  </si>
  <si>
    <t>Enterprises</t>
  </si>
  <si>
    <t>Other Reconciling Items</t>
  </si>
  <si>
    <t>CECONY</t>
  </si>
  <si>
    <t>O&amp;R</t>
  </si>
  <si>
    <t>Gas</t>
  </si>
  <si>
    <t>Steam</t>
  </si>
  <si>
    <t>Consolidation Adjustments</t>
  </si>
  <si>
    <t>Clean Energy Businesses</t>
  </si>
  <si>
    <t>Dominion Energy Virginia</t>
  </si>
  <si>
    <t>Gas Transmission and Storage</t>
  </si>
  <si>
    <t>Gas Distribution</t>
  </si>
  <si>
    <t>Dominion Energy South Carolina</t>
  </si>
  <si>
    <t>Adjustments and Elimination</t>
  </si>
  <si>
    <t>TWh</t>
  </si>
  <si>
    <t>Regulated Generation</t>
  </si>
  <si>
    <t>2019 Form 10-K, page 54. 56</t>
  </si>
  <si>
    <t>Merchant Generation</t>
  </si>
  <si>
    <t>Non-utility Operations</t>
  </si>
  <si>
    <t>Gas Storage and Pipelines</t>
  </si>
  <si>
    <t>Energy Trading</t>
  </si>
  <si>
    <t>Corporate &amp; Other</t>
  </si>
  <si>
    <t>Reclassifications and Eliminations</t>
  </si>
  <si>
    <t>Electric Utilities and Infrastructure</t>
  </si>
  <si>
    <t>Gas Utilities and Infrastructure</t>
  </si>
  <si>
    <t>Commercial Renewables</t>
  </si>
  <si>
    <t>2021 Form 10-K, pg. 62-64, 69-70; 2020 Form 10-k, 14, 100, 134, 2019 Form 10-K, page 125, 50; $ millions</t>
  </si>
  <si>
    <t>Parent and Other</t>
  </si>
  <si>
    <t>Entergy Wholesale Commodities</t>
  </si>
  <si>
    <t>Parent &amp; Other</t>
  </si>
  <si>
    <t>Electric Distribution</t>
  </si>
  <si>
    <t>Natural Gas Distribution</t>
  </si>
  <si>
    <t>Electric Transmission</t>
  </si>
  <si>
    <t>Water Distribution</t>
  </si>
  <si>
    <t>Electric Generation, Transmission and Distribution Services</t>
  </si>
  <si>
    <t>ComEd</t>
  </si>
  <si>
    <t>PECO</t>
  </si>
  <si>
    <t>BGE</t>
  </si>
  <si>
    <t>PHI</t>
  </si>
  <si>
    <t>FirstEnergy Corp.</t>
  </si>
  <si>
    <t>Regulated Distribution</t>
  </si>
  <si>
    <t>Regulated Transmission</t>
  </si>
  <si>
    <t>Bank</t>
  </si>
  <si>
    <t>($ thousands)</t>
  </si>
  <si>
    <t>Utility Operations</t>
  </si>
  <si>
    <t>All Other</t>
  </si>
  <si>
    <t>Non Regulated Energy</t>
  </si>
  <si>
    <t>Transmission Investment</t>
  </si>
  <si>
    <t>All Others</t>
  </si>
  <si>
    <t>Consolidation/ Elimination Entries</t>
  </si>
  <si>
    <t>FPL</t>
  </si>
  <si>
    <t>NextEra Energy Resources</t>
  </si>
  <si>
    <t>Regulated Electric Operations</t>
  </si>
  <si>
    <t>Regulated Natural Gas Operations</t>
  </si>
  <si>
    <t>OGE Energy Corp.</t>
  </si>
  <si>
    <t>Natural Gas Midstream Operations</t>
  </si>
  <si>
    <t>Other Operations</t>
  </si>
  <si>
    <t xml:space="preserve">  </t>
  </si>
  <si>
    <t>Manufacturing</t>
  </si>
  <si>
    <t>Plastics</t>
  </si>
  <si>
    <t>Corporate and Intersegment Eliminations</t>
  </si>
  <si>
    <t>Assets of Discontinued Operations</t>
  </si>
  <si>
    <t>Natural Gas Utility</t>
  </si>
  <si>
    <t>Corporate Other</t>
  </si>
  <si>
    <t>($thousands)</t>
  </si>
  <si>
    <t>PG&amp;E Corporate Total</t>
  </si>
  <si>
    <t>Pacific Gas and E Total</t>
  </si>
  <si>
    <t>Arizona Public Service Co.</t>
  </si>
  <si>
    <t>Pinnacle West Corporate Total</t>
  </si>
  <si>
    <t>PNM Electric</t>
  </si>
  <si>
    <t>TNMP Electric</t>
  </si>
  <si>
    <t>PNM Resources &amp; Subsidiaries Consolidated</t>
  </si>
  <si>
    <t>U.K. Regulated</t>
  </si>
  <si>
    <t>Kentucky Regulated</t>
  </si>
  <si>
    <t>Pennsylvania Regulated</t>
  </si>
  <si>
    <t>Public Service Enterprise Group Incorporated</t>
  </si>
  <si>
    <t>Power</t>
  </si>
  <si>
    <t>PSE&amp;G</t>
  </si>
  <si>
    <t>2021 Form 10-K, pp. 66, F-153-154; 2021 Oncor Electric Delivery Holdings Company LLC Consolidated Financial Statements, pp. 49,51; 2020 Form 10-K, pp. F-56,F-152, F-153,68; 2020 Oncor Electric Delivery Holdings Company LLC Consolidated Financial Statements, pp. 7-9; 2018 Annual Report, pages F-159-F-160; 2019 Form 10-K, pp. F-146 - F-147, 2019 Oncor Electric Delivery Holdings Company LLC Consolidated Financial Statements, pp. 7-9</t>
  </si>
  <si>
    <t>SDG&amp;E</t>
  </si>
  <si>
    <t>SoCalGas</t>
  </si>
  <si>
    <t>Sempra Texas Utilities</t>
  </si>
  <si>
    <t>Sempra Mexico</t>
  </si>
  <si>
    <t>Sempra Renewables</t>
  </si>
  <si>
    <t>Sempra LNG</t>
  </si>
  <si>
    <t>Sempra Infrastructure</t>
  </si>
  <si>
    <t>Adjustments and eliminations</t>
  </si>
  <si>
    <t>Intersegment Revenues/ Eliminations</t>
  </si>
  <si>
    <t>($millions)</t>
  </si>
  <si>
    <t>SDG&amp;E Electric Revenues</t>
  </si>
  <si>
    <t>SDG&amp;E Gas Revenues</t>
  </si>
  <si>
    <t>% Electric</t>
  </si>
  <si>
    <t>% Gas</t>
  </si>
  <si>
    <t>SDG&amp;E Electric Costs</t>
  </si>
  <si>
    <t>SDG&amp;E Gas Costs</t>
  </si>
  <si>
    <t>SDG&amp;E Electric Avg.</t>
  </si>
  <si>
    <t>SDG&amp;E Gas Avg.</t>
  </si>
  <si>
    <t>2021 Form 10-Km pp. II-265; 2020 Form 10-K, pp. II-271; 2019 Form 10-K, pp. II-322; 2018 Form 10-K, page II-426</t>
  </si>
  <si>
    <t>Traditional Operating Companies</t>
  </si>
  <si>
    <t>Southern Power</t>
  </si>
  <si>
    <t>Southern Company Gas</t>
  </si>
  <si>
    <t>WEC Energy Group, Inc.</t>
  </si>
  <si>
    <t>2021 Form 10-k, pp. 18, 49, 53, 55, 135; 2020 Form 10-k, pp 46, 52, 55, 134; 2019 Form 10-K, pp. 44, 122; 2018 Form 10-K, pages 47, 124; Updated 6/8/2018, 2017 Form 10-K, pages 4, 11, 14, 16, 46, 117</t>
  </si>
  <si>
    <t xml:space="preserve">Wisconsin Electric </t>
  </si>
  <si>
    <t>Wisconsin Natural Gas</t>
  </si>
  <si>
    <t>Illinois Natural Gas</t>
  </si>
  <si>
    <t>Other States Natural Gas</t>
  </si>
  <si>
    <t>Non-Utility Energy Infrastructure</t>
  </si>
  <si>
    <t xml:space="preserve">Corporate and Other </t>
  </si>
  <si>
    <t>Reconciling Eliminations</t>
  </si>
  <si>
    <t>Wisconsin total</t>
  </si>
  <si>
    <t>2021 Form 10-K, pp. 20, 49, 52, 81; 2020 Form 10-K, pp 27, 79; 2019 Form 10-K, pages 24, 44, 57; 2018 Form 10-K, page 47</t>
  </si>
  <si>
    <t>Regulated Electric Utility</t>
  </si>
  <si>
    <t>Regulated Natural Gas Utility</t>
  </si>
  <si>
    <t>Xcel Total</t>
  </si>
  <si>
    <t>Electric Margin</t>
  </si>
  <si>
    <t>Gas Margin</t>
  </si>
  <si>
    <t xml:space="preserve"> </t>
  </si>
  <si>
    <t>=@SNLTable(11,$B$6:$B$51,$C$3:$EY$3)</t>
  </si>
  <si>
    <t xml:space="preserve">Company Name </t>
  </si>
  <si>
    <t xml:space="preserve">SNL Institution Key </t>
  </si>
  <si>
    <t xml:space="preserve">Ultimate Parent Company Name </t>
  </si>
  <si>
    <t>Operating Revenue: Electric ($000)</t>
  </si>
  <si>
    <t>Operating Revenue: Gas ($000)</t>
  </si>
  <si>
    <t>Operating Revenue: Other ($000)</t>
  </si>
  <si>
    <t>Operating Expense - Electric ($000)</t>
  </si>
  <si>
    <t>Maintenance Expense: Electric ($000)</t>
  </si>
  <si>
    <t>Depreciation Expense - Electric ($000)</t>
  </si>
  <si>
    <t>Dep Exp for Asset Ret Cost-Elec ($000)</t>
  </si>
  <si>
    <t>Amort &amp; Depl of Utility Plant - Electric ($000)</t>
  </si>
  <si>
    <t>Amortization of Utility Plant Acq Adj - Electric ($000)</t>
  </si>
  <si>
    <t>Amortization of Property Losses - Electric ($000)</t>
  </si>
  <si>
    <t>Amortization of Conversion Expense - Electric ($000)</t>
  </si>
  <si>
    <t>Regulatory Debits, Electric ($000)</t>
  </si>
  <si>
    <t>Regulatory Credits, Electric ($000)</t>
  </si>
  <si>
    <t>Taxes Other Than Inc Taxes - Electric ($000)</t>
  </si>
  <si>
    <t>Electric Operating Income</t>
  </si>
  <si>
    <t>Operating Expense: Gas ($000)</t>
  </si>
  <si>
    <t>Maintenance Expense: Gas ($000)</t>
  </si>
  <si>
    <t>Depreciation Expense: Gas ($000)</t>
  </si>
  <si>
    <t>Dep Exp for Asset Ret Cost-Gas ($000)</t>
  </si>
  <si>
    <t>Amortization &amp; Depletion of Utility Plant: Gas ($000)</t>
  </si>
  <si>
    <t>Amort of Utility Plant Acquisition Adjustment-Gas ($000)</t>
  </si>
  <si>
    <t>Amortization of Property Losses: Gas ($000)</t>
  </si>
  <si>
    <t>Amortization of Conversion Expense: Gas ($000)</t>
  </si>
  <si>
    <t>Regulatory Debits, Gas ($000)</t>
  </si>
  <si>
    <t>Regulatory Credits, Gas ($000)</t>
  </si>
  <si>
    <t>Taxes Other Than Inc Taxes: Gas ($000)</t>
  </si>
  <si>
    <t>Gas Operating Income</t>
  </si>
  <si>
    <t>Other Operating Expense ($000)</t>
  </si>
  <si>
    <t>Maintenance Expense: Other ($000)</t>
  </si>
  <si>
    <t>Depreciation Expense - Other ($000)</t>
  </si>
  <si>
    <t>Dep Exp for Asset Ret Cost-Other ($000)</t>
  </si>
  <si>
    <t>Amort &amp; Depl of Utility Plant - Other ($000)</t>
  </si>
  <si>
    <t>Amort of Utility Plant Acquisition Adj - Other ($000)</t>
  </si>
  <si>
    <t>Amortization of Property Losses - Other ($000)</t>
  </si>
  <si>
    <t>Amortization of Conversion Expense - Other ($000)</t>
  </si>
  <si>
    <t>Regulatory Debits, Other ($000)</t>
  </si>
  <si>
    <t>Regulatory Credits, Other ($000)</t>
  </si>
  <si>
    <t>Taxes Other Than Inc Taxes - Other ($000)</t>
  </si>
  <si>
    <t>Other Operating Income</t>
  </si>
  <si>
    <t>Total Operating Income</t>
  </si>
  <si>
    <t>Check</t>
  </si>
  <si>
    <t>Net Utility Plant: Total ($000)</t>
  </si>
  <si>
    <t>Net Utility Plant: Electric ($000)</t>
  </si>
  <si>
    <t>Net Utility Plant: Gas ($000)</t>
  </si>
  <si>
    <t>Net Utility Plant: Other ($000)</t>
  </si>
  <si>
    <t>Net Utility Plant: Common ($000)</t>
  </si>
  <si>
    <t>Net Utility Plant before Common ($000)</t>
  </si>
  <si>
    <t>2021Y</t>
  </si>
  <si>
    <t>2020Y</t>
  </si>
  <si>
    <t>ALLETE (Minnesota Power)</t>
  </si>
  <si>
    <t>NA</t>
  </si>
  <si>
    <t>Superior Water, Light and Power Company</t>
  </si>
  <si>
    <t>Ameren Illinois Company</t>
  </si>
  <si>
    <t>Union Electric Company</t>
  </si>
  <si>
    <t>Berkshire Gas Company</t>
  </si>
  <si>
    <t>Central Maine Power Company</t>
  </si>
  <si>
    <t>Connecticut Natural Gas Corporation</t>
  </si>
  <si>
    <t>Maine Natural Gas</t>
  </si>
  <si>
    <t>New York State Electric &amp; Gas Corporation</t>
  </si>
  <si>
    <t>Rochester Gas and Electric Corporation</t>
  </si>
  <si>
    <t>Southern Connecticut Gas Company</t>
  </si>
  <si>
    <t>United Illuminating Company</t>
  </si>
  <si>
    <t>Entergy Arkansas, Inc.</t>
  </si>
  <si>
    <t>Entergy Louisiana, LLC</t>
  </si>
  <si>
    <t>Entergy Mississippi, Inc.</t>
  </si>
  <si>
    <t>Entergy New Orleans, Inc.</t>
  </si>
  <si>
    <t>Entergy Texas, Inc.</t>
  </si>
  <si>
    <t>Atlantic City Electric Company</t>
  </si>
  <si>
    <t>Baltimore Gas and Electric Company</t>
  </si>
  <si>
    <t>Commonwealth Edison Company</t>
  </si>
  <si>
    <t>Delmarva Power &amp; Light Company</t>
  </si>
  <si>
    <t>PECO Energy Company</t>
  </si>
  <si>
    <t>Potomac Electric Power Company</t>
  </si>
  <si>
    <t>Pacific Gas and Electric Company</t>
  </si>
  <si>
    <t>Kentucky Utilities Company</t>
  </si>
  <si>
    <t>Louisville Gas and Electric Company</t>
  </si>
  <si>
    <t>PPL Electric Utilities Corporation</t>
  </si>
  <si>
    <t>Public Service Electric and Gas Company</t>
  </si>
  <si>
    <t>Michigan Gas Utilities Corporation</t>
  </si>
  <si>
    <t>Minnesota Energy Resources Corporation</t>
  </si>
  <si>
    <t>North Shore Gas Company</t>
  </si>
  <si>
    <t>Peoples Gas Light and Coke Company</t>
  </si>
  <si>
    <t>Wisconsin Electric Power Company</t>
  </si>
  <si>
    <t>Wisconsin Gas LLC</t>
  </si>
  <si>
    <t>Wisconsin Public Service Corporation</t>
  </si>
  <si>
    <t>Upper Michigan Energy Resources Corporation</t>
  </si>
  <si>
    <t>Northern States Power Company - MN</t>
  </si>
  <si>
    <t>Northern States Power Company - WI</t>
  </si>
  <si>
    <t>Public Service Company of Colorado</t>
  </si>
  <si>
    <t>Southwestern Public Service Company</t>
  </si>
  <si>
    <t>Emera Maine</t>
  </si>
  <si>
    <t>City of Calgary</t>
  </si>
  <si>
    <t>New Mexico Gas Company, Inc.</t>
  </si>
  <si>
    <t>Emera Incorporated</t>
  </si>
  <si>
    <t>Peoples Gas System</t>
  </si>
  <si>
    <t>Tampa Electric Company</t>
  </si>
  <si>
    <t>2022 Form 10-K, page 123-124 (pdf 91-92), page 38 (pdf 29) ; 2021 Form 10-K, pp. 93, 119-121; 2020 Form 10-K, page 36-38, 67, 117-118 (pdf page 50-54, 94, 159-160); 2019 Form 10-K, page 32-38, 119 (pdf page 57-68, 204)</t>
  </si>
  <si>
    <t>Ameren Missouri</t>
  </si>
  <si>
    <t>Ameren Missouri Natural Gas (Legacy)</t>
  </si>
  <si>
    <t>2022 Form 10-K pg. 417 (pdf 435), pg. 90,96, 99, 323; 2021 Form 10-K, p. 84, 90, 96, 99, 320; 2020 Form 10-K, page 81 (PDF 94), 87 (PDF 100), 93 (106), 96 (109), 317 (PDF 333); 2019 Form 10-K, page 5 (pdf page 15), 18 (pdf page 211), 24 (pdf page 217), 30 (pdf page 223), 33 (pdf page 226), 243-245 (pdf page 436-438)</t>
  </si>
  <si>
    <t>Update each business segment update:</t>
  </si>
  <si>
    <t>MRY</t>
  </si>
  <si>
    <t>MRY-1</t>
  </si>
  <si>
    <t>MRY-2</t>
  </si>
  <si>
    <t>Atmos Energy Corporation</t>
  </si>
  <si>
    <t>Form 10-K for year ended 9/30/2022, pg. 50-52; Form 10-K for year ended 9/30/2021, pg. 50-52; Form 10-K for year ended 9/30/2020, pages 50-52 (pdf pages 90-93)</t>
  </si>
  <si>
    <t>ATO</t>
  </si>
  <si>
    <t>Distribution</t>
  </si>
  <si>
    <t>Pipeline and Storage</t>
  </si>
  <si>
    <t>Chesapeake Utilities Corporation</t>
  </si>
  <si>
    <t>2022 Form 10-K pg. 4, 5, 30, 73, 79; 2021 Form 10-K page 75-76 (pdf pages 1116-117); 2019 Form 10-K page 65-66 (pdf pages 121-122)</t>
  </si>
  <si>
    <t>Regulated Energy</t>
  </si>
  <si>
    <t>Operating Revenue</t>
  </si>
  <si>
    <t>CPK</t>
  </si>
  <si>
    <t>Natural Gas Transmission</t>
  </si>
  <si>
    <t>Unregulated Energy</t>
  </si>
  <si>
    <t>Other Businesses and Eliminations</t>
  </si>
  <si>
    <t>Total Regulated Energy</t>
  </si>
  <si>
    <t>Delmarva Natural Gas Distribution</t>
  </si>
  <si>
    <t>Florida Natural Gas Distribution</t>
  </si>
  <si>
    <t>FPU Electric Distribution</t>
  </si>
  <si>
    <t>Eastern Shore</t>
  </si>
  <si>
    <t>Peninsula Pipeline</t>
  </si>
  <si>
    <t>Net Income</t>
  </si>
  <si>
    <t>Spire, Inc.</t>
  </si>
  <si>
    <t xml:space="preserve">2022 Form 10-K Pg. 34 (pdf 38), Pg.115 (pdf 118);Form 10-K year ended 9/30/2021, pages 116-117; Form 10-K for the year ended 9/30/2020, pages 36,125; </t>
  </si>
  <si>
    <t>SR</t>
  </si>
  <si>
    <t>Gas Marketing</t>
  </si>
  <si>
    <t>New Jersey Resources Corporation</t>
  </si>
  <si>
    <t>Form 10-K for year ended 9/30/2022, pg. 43, 48, 49, 53, 54, 89, 128, 130; Form 10-K for year ended 9/30/2021, pages 44, 48, 53, 91, 129; Form 10-K for year ended 9/30/20, pages 44, 49, 50, 54, 55, 92, 132-5</t>
  </si>
  <si>
    <t>NJR</t>
  </si>
  <si>
    <t>Clean Energy Ventures</t>
  </si>
  <si>
    <t>Energy Services</t>
  </si>
  <si>
    <t>Midstream</t>
  </si>
  <si>
    <t>Home Services and Other</t>
  </si>
  <si>
    <t>NiSource Inc.</t>
  </si>
  <si>
    <t>Form 10-K for year ended 12/31/2022, pages 39, 42, 115; Form 10-K for year ended 12/31/2021, pages 39, 42, 120, 121; Form 10-K for year ended 12/31/2020 (page 32, 36, 113-4) pdf pages 196-198;</t>
  </si>
  <si>
    <t>NI</t>
  </si>
  <si>
    <t>Gas Distribution Operations</t>
  </si>
  <si>
    <t>Electric Operations</t>
  </si>
  <si>
    <t>Northwest Natural Gas Company</t>
  </si>
  <si>
    <t>Form 10-K for year ended 12/31/2022, page 98; Form 10-K for year ended 12/31/2021, page 99; Form 10-K for year ended 12/31/2020, page 50 (pdf page 78), 101 (pdf pg 152)</t>
  </si>
  <si>
    <t>NWN</t>
  </si>
  <si>
    <t>Other (NW Natural)</t>
  </si>
  <si>
    <t>Other (NW Holdings)</t>
  </si>
  <si>
    <t>ONE Gas, Inc.</t>
  </si>
  <si>
    <t>Form 10-K for year ended 12/31/2022, pg. 42, 44; Form 10-K for year ended 12/31/2021 pg 33, 54, 56.; Form 10-K for year ended 12/31/2020 (page 33), pdf page 56 and page 55, pdf page 89</t>
  </si>
  <si>
    <t>OGS</t>
  </si>
  <si>
    <t>Regulated Utility</t>
  </si>
  <si>
    <t>South Jersey Industries, Inc.</t>
  </si>
  <si>
    <t>2021 Form 10-K, page 108-111; 2020 Form 10-K, page 108-111 (pdf page 155-159); 2018 Form 10-K, page 107 (pdf page 170);; 2019 Form 10-K, page 103-106 (pdf page 192-199); 2018 Form 10-K, page 107 (pdf page 170);</t>
  </si>
  <si>
    <t>SJI</t>
  </si>
  <si>
    <t>Gas Utility Operations</t>
  </si>
  <si>
    <t>Wholesale Energy Operations</t>
  </si>
  <si>
    <t>Retail Servics</t>
  </si>
  <si>
    <t>On-Site Energy Production</t>
  </si>
  <si>
    <t>Appliance Service Operations</t>
  </si>
  <si>
    <t>Corporate and Services</t>
  </si>
  <si>
    <t>Intersegment Sales/Assets</t>
  </si>
  <si>
    <t>n/a</t>
  </si>
  <si>
    <t>Southwest Gas Corporation</t>
  </si>
  <si>
    <t xml:space="preserve">2022 Form 10-K Pg. 4-5 (pdf 280-281),Pg. 72 (pdf 348); 2021 Annual Report pages 15-17, 107; 2020 Form 10-K, pages 70 (pdf pg 72),79 (PDF 80), 45 (PDF 47), 130 (PDF 132) ; </t>
  </si>
  <si>
    <t>SWX</t>
  </si>
  <si>
    <t>Natural Gas Operations</t>
  </si>
  <si>
    <t>Utility Infrastructure Services</t>
  </si>
  <si>
    <t>UGI Corporation</t>
  </si>
  <si>
    <t xml:space="preserve">Form 10-K for year ended 9/30/2022, pages F-59 (pdf page 146); Form 10-K for year ended 9/30/2021 pg 53, 55-56, F-61, F-62; Form 10-K for year ended 9/30/2020, page F-67 (PDF 148) ; </t>
  </si>
  <si>
    <t>UGI</t>
  </si>
  <si>
    <t>AmeriGas Propane</t>
  </si>
  <si>
    <t>UGI International</t>
  </si>
  <si>
    <t>Midstream &amp; Marketing</t>
  </si>
  <si>
    <t>UGI Utilities</t>
  </si>
  <si>
    <t>Corporate &amp; Other (b)</t>
  </si>
  <si>
    <t>2022 Form 10-K pg. 94 (pdf 97); 2021 Form 10-K, p. 92; 2020 Form 10-K, page; 2019 Form 10-K page 92 (PDF page 145), page 92-93 (pdf page 179-181)</t>
  </si>
  <si>
    <t>2022 Form 10-K Pg. 160 (pdf 165), Pg. 45 (pdf 50); 2021 Form 10-K, p. 45, 114, 155; 2020 Form 10-K pages 84 (PDF 131), 88 (PDF 137), 17 (PDF 32), 41 (PDF 69), 106 (PDF 167); 2019 Form 10-K, pages 78 (pdf 108), 82 (pdf 114), 99 (pdf 138), 14 (pdf 23), 38 (pdf 53)</t>
  </si>
  <si>
    <t>Ameren Missouri - Allocated to Electric based on PPE</t>
  </si>
  <si>
    <t>Ameren Missouri - Allocated to Gas based on PPE</t>
  </si>
  <si>
    <t>2022 Form 10-K, p. 108 (PDF 126), p. 165-166 (PDF 188-189); 2021 Form 10-K, p. 159; 2020 Form 10-K, p. 56-58 (PDF 92-95), p. 150-152 (PDF 232-234)</t>
  </si>
  <si>
    <t>2022 Form 10-K, p. 137 (PDF 144); 2021 Form 10-K, p. 134-135; 2020 Form 10-K, page 135 (PDF page 151); 2019 Form 10-K, page 31-32 (pdf page 40-41)</t>
  </si>
  <si>
    <t>2022 Form 10-K, p. 106-108 (PDF 124-127); 2021 Form 10-K, p. 111-112; 2020 Form 10-K, pages 121-122 (PDF pages 155-156)</t>
  </si>
  <si>
    <t>Electric Utilities</t>
  </si>
  <si>
    <t>Gas Utilities</t>
  </si>
  <si>
    <r>
      <t xml:space="preserve">2022 Form 110-K, p. 48-51 (PDF 23-25), p. 169 (PDF 75); 2021 Form 10-K, p. 47, 49, 117, 170; 2020 Form 10-K, p. 183. </t>
    </r>
    <r>
      <rPr>
        <b/>
        <sz val="10"/>
        <rFont val="Arial"/>
        <family val="2"/>
      </rPr>
      <t>$ millions</t>
    </r>
  </si>
  <si>
    <r>
      <t>2022 Form 10-K, p. 166-169 (PDF 241-244), ; 2021 Form 10-K, p. 166-169.</t>
    </r>
    <r>
      <rPr>
        <b/>
        <sz val="10"/>
        <rFont val="Arial"/>
        <family val="2"/>
      </rPr>
      <t xml:space="preserve"> $ millions</t>
    </r>
  </si>
  <si>
    <t>2022 Form 10-K, p. 180-181 (PDF 137-138); 2021 ConEd Annual Report p. 180; 2020 Form 10-K page 174 (PDF page 233); 2019 Form 10-K, page 159-160; $ millions</t>
  </si>
  <si>
    <t>2022 Form 10-K, p. 195; 2021 Form 10-K, p. 204; 2020 Form 10-K, page 217; 2019 Form 10-K, page 191; $ millions</t>
  </si>
  <si>
    <t>Contracted Assets</t>
  </si>
  <si>
    <t>2021 Form 10-K, page 65, 67</t>
  </si>
  <si>
    <t>2020 Form 10-K, page 66, 69</t>
  </si>
  <si>
    <t>2022 Form 10-K, page 32, 34, 36, 38, 85, 144; 2021 Form 10-K, page 31, 33, 35, 37, 146 ; 2020 Form 10-K, page 35, 37, 38, 42, 62, 152. 2019 Form 10-K, pages 145-146, 32,34,36-37,39; $ millions</t>
  </si>
  <si>
    <t>DTE Vantage</t>
  </si>
  <si>
    <t>2022 Form 10-K, pg 44-46, 131, 2021 Form 10-K, pg. 45-48, 74, 132; 2020 Form 10-k, 14, 100, 134, 2019 Form 10-K, page 125, 50; $ millions</t>
  </si>
  <si>
    <t>2022 Form 10-K, page 208; 2021 Form 10-K, page 195; 2020 Form 10-K, page 197.  $ thousands</t>
  </si>
  <si>
    <t>2022 Form 10-K, page 131; 2021 Form 10-K, page 137; 2020 Form 10-K, page 131, $ Millions</t>
  </si>
  <si>
    <t>2022 Form 10-K, page 45, 76; 2021 Form 10-K, page 44, 73; 2020 Form 10-K, page 43, 73; $ Millions</t>
  </si>
  <si>
    <t>2022 Form 10-K, Page 119 126, 131, 136, 139, 193,  2021 Form 10-K, page 226, 72, 75,79, 83, 86, 90, 93, 228; 2020 Form 10-K, page 257-259, 81, 88, 90, 95; $ millions</t>
  </si>
  <si>
    <t>2022 Form 10-K, page 35, 87, 123; 2021 Form 10-K page 33, 123; 2020 Form 10-K, page 88-89, 128; 2019 Form 10-K, page 40-42, 132; $ millions</t>
  </si>
  <si>
    <t>Corporate/Other and Reconciling Adjustments</t>
  </si>
  <si>
    <t>2022 Form 10-K, page 87,110; 2021 Form 10-K , page 86; 2020 Form 10-K, page 84, 106; 2019 Form 10-K, page 78, 100; $ thousands</t>
  </si>
  <si>
    <t>2022 Form 10-K, page 129; 2021 Form 10-K, pp. 130; 2020 Form 10-k, pp. 129; 2019 Form 10-K, pp. 124-125; 2018 Form 10-K, p. 126-127</t>
  </si>
  <si>
    <t>2022 Form 10-K, pp. 106, 107; 2021 Form 10-K, pp. 110, 113, 114, 115. 2020 Form 10-K, pp. 112, 114; 2019 Form 10-K, pp. 105, 107; 2018 Form 10-K, pages 103, 105; 2017 Form 10-K, page 101, 103</t>
  </si>
  <si>
    <t>2022 Form 10-K, 111, 112; 2021 Form 10-K, pp. 110, 111; 2020 Form 10-K, pp. 111; 2019 Form 10-K, pp. 107-108; 2018 Form 10-K, pages 66-67, 110</t>
  </si>
  <si>
    <t>2022 Form 10-K, pp. F-49; 2021 Form 10-K, pp. 44, F-48, 50; 2020 Form 10-K, pp. F-46; 2019 Form 10-K, pp. F-45; 2018 Form 10-K, page F-46</t>
  </si>
  <si>
    <t>2022 Form 10-K, pdf pp. 142, 143; 2021 Form 10-K; Page 103. 2020 Form 10-K, pp. 128; 2019 Form 10-K, pp. 108-109; 2018 Form 10-K, pages 110-111; 2017 Form 10-K, pages 122-123</t>
  </si>
  <si>
    <t>2022 Form 10-K, pp. 51; 2021 Form 10-K, pp. 45-47; 2020 Form 10-K, pp. 35-39, 48-49</t>
  </si>
  <si>
    <t>2020 Form 10-K, pp. 109, 111, 116, 118</t>
  </si>
  <si>
    <t>Source: 2022 Form 10-K, pp. 97-99, 104-106; 2021 Form 10-K, 141. 2020 Form 10-K, pp. 109, 111, 116, 118</t>
  </si>
  <si>
    <t>2022 Form 10-K, pp. 95-97, 106-108; 2020 Form 10-K, pp. 89, 91, 100, 102</t>
  </si>
  <si>
    <t>2022 Form 10-K, pp. B-18, B-22, B-25, B-28; 2021 Form 10-K, pp. B-28,; 2020 Form 10-K, pp. B-38, B-43</t>
  </si>
  <si>
    <t>2022 Form 10-K, pp. B-11, B-15</t>
  </si>
  <si>
    <t>2022 Form 10-K, pp. 73, 75; 2021 Form 10-K, pp. 73, 75; 2020 Form 10-K, pp. 66, 68</t>
  </si>
  <si>
    <t>2022 Form 10-K, pp. 42, 111; 2021 Form 10-K, pp. 107, 235, ; 2020 Form 10-k, pp. 51, 138, 140</t>
  </si>
  <si>
    <t>Rhode Island Regulated</t>
  </si>
  <si>
    <t>2022 Form 10-K, pp. 148; 2021 Form 10-k, pp. 161; 2020 Form 10-k, pp 102, 178, 179</t>
  </si>
  <si>
    <t>Source: 2022 SRE 10-K, pp. 64</t>
  </si>
  <si>
    <t>Unitil Corporation</t>
  </si>
  <si>
    <t>TBD</t>
  </si>
  <si>
    <t>UTL</t>
  </si>
  <si>
    <t>Algonquin Power &amp; Utilities Corporation</t>
  </si>
  <si>
    <t>Algonquin 2022 Annual Report, p. 138-139; Algonquin Power Consolidated Financial Statements, 12/31/2021, pp. 65-66; Algonquin Power 2020 Annual Report pp. 128 of 145</t>
  </si>
  <si>
    <t>AQN</t>
  </si>
  <si>
    <t>Regulated Services Group</t>
  </si>
  <si>
    <t>Renewable Energy Group</t>
  </si>
  <si>
    <t>Percent Electric / Regulated</t>
  </si>
  <si>
    <t>Segment Assets</t>
  </si>
  <si>
    <t>AltaGas Limited</t>
  </si>
  <si>
    <t>AltaGas 2022 FSMD&amp;A pp. 32, 142-143; AltaGas 2021 Annual Report, pp. 31, 145-146; AltaGas 2020 Annual Report, pp. 33, 152</t>
  </si>
  <si>
    <t>ALA</t>
  </si>
  <si>
    <t>(C$ Millions)</t>
  </si>
  <si>
    <t>Utilities</t>
  </si>
  <si>
    <t>Intersegment Elimination</t>
  </si>
  <si>
    <t>Segment Assets  (C$ Millions)</t>
  </si>
  <si>
    <t>Canadian Utilities Limited</t>
  </si>
  <si>
    <t>2022 CU Consolidated Financial Statements pp. 16; 2021 CU Consolidated Financial Statements pp. 15; 2020 CU Annual Report pp 82</t>
  </si>
  <si>
    <t>CU</t>
  </si>
  <si>
    <t>Electricity</t>
  </si>
  <si>
    <t>Energy Infrastructure</t>
  </si>
  <si>
    <t>Emera Inc.</t>
  </si>
  <si>
    <t>Emerea Inc. Q4 2022 Financial Statements, pp. 27; Emera Inc. 2021 Annual Report, pp. 98; Emera Inc. 2020 Annual Report, pp. 31, 34, 37, 40, 43, 99.</t>
  </si>
  <si>
    <t>EMA</t>
  </si>
  <si>
    <t>Florida Electric Utility</t>
  </si>
  <si>
    <t>Canadian Electric Utilities</t>
  </si>
  <si>
    <t>Other Electric Utilities</t>
  </si>
  <si>
    <t>Inter-Segment Adjustments</t>
  </si>
  <si>
    <t>EBITDA (C$ Millions)</t>
  </si>
  <si>
    <t>Enbridge Inc.</t>
  </si>
  <si>
    <t>Enbrigde 2022 Annual Report pp. 100, 115, 119; Enbridge Inc. 2021 Annual Report pp. 101, 121; Enbridge Inc. 2020 Annual Report pp. 126-127, 130</t>
  </si>
  <si>
    <t>PP&amp;E Data</t>
  </si>
  <si>
    <t>As % of Total PP&amp;E</t>
  </si>
  <si>
    <t>ENB</t>
  </si>
  <si>
    <t>Gas Transmission and Midstream</t>
  </si>
  <si>
    <t>Gas Distribution and Storage</t>
  </si>
  <si>
    <t>Renewable Power Generation</t>
  </si>
  <si>
    <t>Eliminations and Other</t>
  </si>
  <si>
    <t>Liquids Pipelines</t>
  </si>
  <si>
    <t>Revenue C($000)</t>
  </si>
  <si>
    <t>EBITDA C($000)</t>
  </si>
  <si>
    <t>Total property, plant and equipment, net</t>
  </si>
  <si>
    <t>Segment Assets  C($000)</t>
  </si>
  <si>
    <t>Fortis Inc.</t>
  </si>
  <si>
    <t>Fortis Inc. 2022 Annual Report, p. 20; Fortis Inc. 2021 Annual Report, p. 73; Fortis Inc. 2020 Annual Report, pp. 79</t>
  </si>
  <si>
    <t>FTS</t>
  </si>
  <si>
    <t>Regulated - ITC</t>
  </si>
  <si>
    <t>Regulated - UNS Energy</t>
  </si>
  <si>
    <t>Regulated - Central Hudson</t>
  </si>
  <si>
    <t>Regulated - FortisBC Energy</t>
  </si>
  <si>
    <t>Regulated - Fortis Alberta</t>
  </si>
  <si>
    <t>Regulated - FortisBC Electric</t>
  </si>
  <si>
    <t>Regulated - Other Electric</t>
  </si>
  <si>
    <t>Non-Regulated - Energy Infrastructure</t>
  </si>
  <si>
    <t>Inter-Segment Eliminations</t>
  </si>
  <si>
    <t>Revenue ($millions)</t>
  </si>
  <si>
    <t>Operating Income ($millions)</t>
  </si>
  <si>
    <t>Segment Assets  ($millions)</t>
  </si>
  <si>
    <t>Hydro One Limited</t>
  </si>
  <si>
    <t>Hydro One Limited 2022 Annual Report p. 95; Hydro One Limited 2021 Annual Report p. 102; Hydro One Limited 2020 Annual Report p. 103.</t>
  </si>
  <si>
    <t>H</t>
  </si>
  <si>
    <t>Transmission</t>
  </si>
  <si>
    <t>Percent Unregulated</t>
  </si>
  <si>
    <t xml:space="preserve">Segment Assets </t>
  </si>
  <si>
    <t>TC Energy Corporation (TC Energy)</t>
  </si>
  <si>
    <t>TC Energy 2022 Annual Report p. 15; TC Energy 2021 Annual Report p. 15; TC Energy 2020 Annual Report p. 14.</t>
  </si>
  <si>
    <t>TRP</t>
  </si>
  <si>
    <t>Canadian Natural Gas Pipelines</t>
  </si>
  <si>
    <t>US Natural Gas Pipelines</t>
  </si>
  <si>
    <t>Mexico Natural Gas Pipelines</t>
  </si>
  <si>
    <t>Liquid Pipelines</t>
  </si>
  <si>
    <t>Power and Energy Solutions</t>
  </si>
  <si>
    <t>EBITDA</t>
  </si>
  <si>
    <t>American Water Works Company</t>
  </si>
  <si>
    <t>2022 Form 10-K p. 48, 57, 131, 2021 Form 10-K p. 62, 65, 134, 2020 Form 10-K p. 9, 13, 128</t>
  </si>
  <si>
    <t>Regulated</t>
  </si>
  <si>
    <t>AWK</t>
  </si>
  <si>
    <t>$Millions</t>
  </si>
  <si>
    <t>Water</t>
  </si>
  <si>
    <t>Wastewater</t>
  </si>
  <si>
    <t>Percent Reg/Total</t>
  </si>
  <si>
    <t>Percent Water/Reg</t>
  </si>
  <si>
    <t>Percent Water/Total</t>
  </si>
  <si>
    <t>American States Water Company</t>
  </si>
  <si>
    <t>2022 Form 10-K p. 65, 110, 2021 Form 10-K p. 32, 34, 2020 Form 10-K, p. 31, 62, 105</t>
  </si>
  <si>
    <t>AWR</t>
  </si>
  <si>
    <t>$000s</t>
  </si>
  <si>
    <t>Contracted Services</t>
  </si>
  <si>
    <t>Total Consolidated Company Assets</t>
  </si>
  <si>
    <t>California Water Service Group</t>
  </si>
  <si>
    <t>2022 Form 10-K p. 54, 2021 Form 10-K p. 49-50, 2020 Form 10-K pp. 50-51</t>
  </si>
  <si>
    <t>CWT</t>
  </si>
  <si>
    <t>Water Supply &amp; Distribution</t>
  </si>
  <si>
    <t>Non-Regulated Activities</t>
  </si>
  <si>
    <t>Middlesex Water Company</t>
  </si>
  <si>
    <t>2022 Form 10-K p. 27, 2021 Form 10-K p. 27, 2020 Form 10-K pp. 27, 67</t>
  </si>
  <si>
    <t>MSEX</t>
  </si>
  <si>
    <t>Water &amp; Wastewater</t>
  </si>
  <si>
    <t>Non-Regulated Water Contracts</t>
  </si>
  <si>
    <t>SJW Group</t>
  </si>
  <si>
    <t>2022 Form 10-K p. 76, 2021 Form 10-K p. 82, 2020 Form 10-K p. 89</t>
  </si>
  <si>
    <t>SJW</t>
  </si>
  <si>
    <t>Water Utility Services</t>
  </si>
  <si>
    <t>Non-Tariffed Water</t>
  </si>
  <si>
    <t>Real Estate Services</t>
  </si>
  <si>
    <t>Aqua America (Essential Utilities)</t>
  </si>
  <si>
    <t>2022 Form 10-K p. 49-52, 118, 2021 Form 10-K p. 121, 2020 Form 10-K p. 122</t>
  </si>
  <si>
    <t>WTRG</t>
  </si>
  <si>
    <t>Regulated Water</t>
  </si>
  <si>
    <t>Regulated Natural Gas</t>
  </si>
  <si>
    <t>Other and Corporate Eliminations</t>
  </si>
  <si>
    <t>York Water Company</t>
  </si>
  <si>
    <t>2022 Form 10-K, p. 19, 23, 2020 Form 10-K, pp. 22, 24</t>
  </si>
  <si>
    <t>YORW</t>
  </si>
  <si>
    <t>B-</t>
  </si>
  <si>
    <t>S&amp;P Credit Rating Between BBB+ and AAA</t>
  </si>
  <si>
    <t>2022Y</t>
  </si>
  <si>
    <t>Announced Merger within 180 days from 8/31/2023</t>
  </si>
  <si>
    <t>允䅁䅁䅑䅁睂䅁䅁睊扂䙁䅍睙祂䝁䅕党畂䝁䅫杢湂䍁䅁睖療䡁䅉睡睂䝁䅅䅣求䡁䅉杌㑂䝁䅷督㑂䙁䄰杒䙂䙁䅉睑杁䕁䅙睢祂䝁䄰䅉硁䙁䄸杍杁䕁䅑兙あ䝁䅅䅉潁䑁䅉克湁䍁䅅䅊䉂䍁䅑李䅁䅁䅁䅁㡂䅁䅁睊扂䙁䅍睙祂䝁䅕党畂䝁䅫杢湂䍁䅁睖療䡁䅉睡睂䝁䅅䅣求䡁䅉杌㑂䝁䅷督㑂䙁䄰杒䙂䙁䅉睑杁䕁䅙睢祂䝁䄰䅉硁䙁䄸杍杁䕁䅑兙あ䝁䅅䅉潁䑁䅉克湁䍁䅅䅊䍂䍁䅑李㙁䍁䅑村歁䑁䅕免䅁䅁䅅䅁㡂䅁䅁睊扂䙁䅍睙祂䝁䅕党畂䝁䅫杢湂䍁䅁睖療䡁䅉睡睂䝁䅅䅣求䡁䅉杌㑂䝁䅷督㑂䙁䄰杒䙂䙁䅉睑杁䕁䅙睢祂䝁䄰䅉硁䙁䄸杍杁䕁䅑兙あ䝁䅅䅉潁䑁䅉克湁䍁䅅䅊䑂䍁䅑睍㙁䍁䅑兒婂䍁䅑睍䅁䅁䅉䅁十䅁䅁睕佂䕁䅷䅖桂䝁䅉䅢求䅁䅁睁䅁䅁䅁䅁㵁</t>
  </si>
  <si>
    <t>[2] Source: S&amp;P Capital IQ</t>
  </si>
  <si>
    <t xml:space="preserve">% Regulated Operating Income of Total Income 
&gt; 70% </t>
  </si>
  <si>
    <t>[4] - [5] Source: Form 10-Ks for 2022, 2021 &amp; 2020, three-year average</t>
  </si>
  <si>
    <t>[6] SNL Financial News Releases</t>
  </si>
  <si>
    <t xml:space="preserve">% Regulated Electric Income of Total Regulated Income 
&gt; 90% </t>
  </si>
  <si>
    <t>PROXY GROUP SCREENING DATA AND RESULTS - U.S. ELECTRIC PROXY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</si>
</sst>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6" formatCode="&quot;$&quot;#,##0_);[Red]\(&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 #,##0.0_);_(* \(#,##0.0\);_(* &quot;-&quot;?_);_(@_)"/>
    <numFmt numFmtId="167" formatCode="#,##0.0_);\(#,##0.0\)"/>
    <numFmt numFmtId="168" formatCode="_(* #,##0.0_);_(* \(#,##0.0\);_(* &quot;-&quot;??_);_(@_)"/>
    <numFmt numFmtId="169" formatCode="_(* #,##0.00000_);_(* \(#,##0.00000\);_(* &quot;-&quot;??_);_(@_)"/>
    <numFmt numFmtId="170" formatCode="_(* #,##0_);_(* \(#,##0\);_(* &quot;-&quot;?_);_(@_)"/>
    <numFmt numFmtId="171" formatCode="0.0"/>
    <numFmt numFmtId="172" formatCode="_(&quot;$&quot;* #,##0_);_(&quot;$&quot;* \(#,##0\);_(&quot;$&quot;* &quot;-&quot;??_);_(@_)"/>
  </numFmts>
  <fonts count="31" x14ac:knownFonts="1">
    <font>
      <sz val="11"/>
      <color theme="1"/>
      <name val="Calibri"/>
      <family val="2"/>
      <scheme val="minor"/>
    </font>
    <font>
      <sz val="11"/>
      <color theme="1"/>
      <name val="Calibri"/>
      <family val="2"/>
      <scheme val="minor"/>
    </font>
    <font>
      <sz val="10"/>
      <color theme="1"/>
      <name val="Arial"/>
      <family val="2"/>
    </font>
    <font>
      <sz val="10"/>
      <name val="Arial"/>
      <family val="2"/>
    </font>
    <font>
      <b/>
      <sz val="10"/>
      <name val="Arial"/>
      <family val="2"/>
    </font>
    <font>
      <i/>
      <sz val="10"/>
      <name val="Arial"/>
      <family val="2"/>
    </font>
    <font>
      <sz val="10"/>
      <color rgb="FFFF0000"/>
      <name val="Arial"/>
      <family val="2"/>
    </font>
    <font>
      <sz val="10"/>
      <name val="Times New Roman"/>
      <family val="1"/>
    </font>
    <font>
      <b/>
      <sz val="10"/>
      <color theme="1"/>
      <name val="Arial"/>
      <family val="2"/>
    </font>
    <font>
      <sz val="10"/>
      <color rgb="FF0070C0"/>
      <name val="Arial"/>
      <family val="2"/>
    </font>
    <font>
      <b/>
      <sz val="9"/>
      <color indexed="81"/>
      <name val="Tahoma"/>
      <family val="2"/>
    </font>
    <font>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9"/>
      <color indexed="8"/>
      <name val="Calibri"/>
      <family val="2"/>
    </font>
    <font>
      <sz val="10"/>
      <color rgb="FF0000FF"/>
      <name val="Arial"/>
      <family val="2"/>
    </font>
  </fonts>
  <fills count="39">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FF"/>
        <bgColor indexed="64"/>
      </patternFill>
    </fill>
  </fills>
  <borders count="26">
    <border>
      <left/>
      <right/>
      <top/>
      <bottom/>
      <diagonal/>
    </border>
    <border>
      <left/>
      <right/>
      <top style="medium">
        <color auto="1"/>
      </top>
      <bottom style="thin">
        <color auto="1"/>
      </bottom>
      <diagonal/>
    </border>
    <border>
      <left/>
      <right/>
      <top/>
      <bottom style="medium">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ashed">
        <color rgb="FFBFBFBF"/>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98">
    <xf numFmtId="0" fontId="0" fillId="0" borderId="0"/>
    <xf numFmtId="9" fontId="1" fillId="0" borderId="0" applyFont="0" applyFill="0" applyBorder="0" applyAlignment="0" applyProtection="0"/>
    <xf numFmtId="0" fontId="2" fillId="0" borderId="0"/>
    <xf numFmtId="0" fontId="2" fillId="0" borderId="0"/>
    <xf numFmtId="0" fontId="1"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7" fillId="0" borderId="0"/>
    <xf numFmtId="44" fontId="3" fillId="0" borderId="0" applyFont="0" applyFill="0" applyBorder="0" applyAlignment="0" applyProtection="0"/>
    <xf numFmtId="0" fontId="3" fillId="0" borderId="0"/>
    <xf numFmtId="0" fontId="12" fillId="0" borderId="0" applyNumberFormat="0" applyFill="0" applyBorder="0" applyAlignment="0" applyProtection="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6" borderId="0" applyNumberFormat="0" applyBorder="0" applyAlignment="0" applyProtection="0"/>
    <xf numFmtId="0" fontId="17" fillId="7" borderId="0" applyNumberFormat="0" applyBorder="0" applyAlignment="0" applyProtection="0"/>
    <xf numFmtId="0" fontId="19" fillId="9" borderId="11" applyNumberFormat="0" applyAlignment="0" applyProtection="0"/>
    <xf numFmtId="0" fontId="20" fillId="10" borderId="12" applyNumberFormat="0" applyAlignment="0" applyProtection="0"/>
    <xf numFmtId="0" fontId="21" fillId="10" borderId="11" applyNumberFormat="0" applyAlignment="0" applyProtection="0"/>
    <xf numFmtId="0" fontId="22" fillId="0" borderId="13" applyNumberFormat="0" applyFill="0" applyAlignment="0" applyProtection="0"/>
    <xf numFmtId="0" fontId="23" fillId="11" borderId="14"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6" applyNumberFormat="0" applyFill="0" applyAlignment="0" applyProtection="0"/>
    <xf numFmtId="0" fontId="2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8" fillId="8" borderId="0" applyNumberFormat="0" applyBorder="0" applyAlignment="0" applyProtection="0"/>
    <xf numFmtId="0" fontId="2" fillId="0" borderId="0"/>
    <xf numFmtId="0" fontId="1" fillId="0" borderId="0"/>
    <xf numFmtId="0" fontId="1" fillId="0" borderId="0"/>
    <xf numFmtId="9" fontId="3" fillId="0" borderId="0" applyFont="0" applyFill="0" applyBorder="0" applyAlignment="0" applyProtection="0"/>
    <xf numFmtId="0" fontId="2" fillId="0" borderId="0"/>
    <xf numFmtId="0" fontId="1" fillId="0" borderId="0"/>
    <xf numFmtId="0" fontId="1" fillId="0" borderId="0"/>
    <xf numFmtId="0" fontId="7" fillId="0" borderId="0"/>
    <xf numFmtId="0" fontId="2" fillId="0" borderId="0"/>
    <xf numFmtId="9"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0" fontId="18" fillId="8" borderId="0" applyNumberFormat="0" applyBorder="0" applyAlignment="0" applyProtection="0"/>
    <xf numFmtId="0" fontId="1" fillId="12" borderId="15" applyNumberFormat="0" applyFont="0" applyAlignment="0" applyProtection="0"/>
    <xf numFmtId="0" fontId="3" fillId="0" borderId="0"/>
    <xf numFmtId="9" fontId="3" fillId="0" borderId="0" applyFont="0" applyFill="0" applyBorder="0" applyAlignment="0" applyProtection="0"/>
    <xf numFmtId="0" fontId="28" fillId="8" borderId="0" applyNumberFormat="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9" fontId="1" fillId="0" borderId="0" applyFont="0" applyFill="0" applyBorder="0" applyAlignment="0" applyProtection="0"/>
    <xf numFmtId="0" fontId="1" fillId="12" borderId="15" applyNumberFormat="0" applyFont="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9" fontId="1" fillId="0" borderId="0" applyFont="0" applyFill="0" applyBorder="0" applyAlignment="0" applyProtection="0"/>
    <xf numFmtId="0" fontId="1" fillId="12" borderId="15" applyNumberFormat="0" applyFont="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9" fontId="1" fillId="0" borderId="0" applyFont="0" applyFill="0" applyBorder="0" applyAlignment="0" applyProtection="0"/>
    <xf numFmtId="0" fontId="1" fillId="12" borderId="15" applyNumberFormat="0" applyFont="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12" borderId="15"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9" fillId="0" borderId="17">
      <alignment wrapText="1"/>
    </xf>
  </cellStyleXfs>
  <cellXfs count="326">
    <xf numFmtId="0" fontId="0" fillId="0" borderId="0" xfId="0"/>
    <xf numFmtId="0" fontId="3" fillId="0" borderId="0" xfId="2" applyFont="1"/>
    <xf numFmtId="0" fontId="3" fillId="0" borderId="0" xfId="2" applyFont="1" applyAlignment="1">
      <alignment horizontal="center"/>
    </xf>
    <xf numFmtId="0" fontId="3" fillId="0" borderId="1" xfId="2" applyFont="1" applyBorder="1"/>
    <xf numFmtId="0" fontId="3" fillId="0" borderId="0" xfId="2" applyFont="1" applyAlignment="1">
      <alignment horizontal="center" wrapText="1"/>
    </xf>
    <xf numFmtId="0" fontId="3" fillId="0" borderId="0" xfId="0" applyFont="1"/>
    <xf numFmtId="0" fontId="3" fillId="0" borderId="0" xfId="3" applyFont="1" applyAlignment="1">
      <alignment horizontal="center"/>
    </xf>
    <xf numFmtId="0" fontId="3" fillId="0" borderId="2" xfId="3" applyFont="1" applyBorder="1" applyAlignment="1">
      <alignment horizontal="center"/>
    </xf>
    <xf numFmtId="0" fontId="3" fillId="0" borderId="2" xfId="2" applyFont="1" applyBorder="1" applyAlignment="1">
      <alignment horizontal="center"/>
    </xf>
    <xf numFmtId="0" fontId="3" fillId="0" borderId="3" xfId="2" applyFont="1" applyBorder="1"/>
    <xf numFmtId="0" fontId="4" fillId="0" borderId="0" xfId="4" applyFont="1"/>
    <xf numFmtId="0" fontId="3" fillId="0" borderId="0" xfId="4" applyFont="1" applyAlignment="1">
      <alignment horizontal="right"/>
    </xf>
    <xf numFmtId="0" fontId="3" fillId="0" borderId="0" xfId="4" applyFont="1" applyAlignment="1">
      <alignment horizontal="center"/>
    </xf>
    <xf numFmtId="0" fontId="3" fillId="0" borderId="0" xfId="4" applyFont="1"/>
    <xf numFmtId="165" fontId="2" fillId="0" borderId="0" xfId="5" applyNumberFormat="1" applyFont="1"/>
    <xf numFmtId="0" fontId="3" fillId="0" borderId="0" xfId="4" applyFont="1" applyAlignment="1">
      <alignment horizontal="left"/>
    </xf>
    <xf numFmtId="165" fontId="3" fillId="0" borderId="0" xfId="5" applyNumberFormat="1" applyFont="1" applyAlignment="1">
      <alignment horizontal="center" wrapText="1"/>
    </xf>
    <xf numFmtId="165" fontId="3" fillId="0" borderId="0" xfId="5" applyNumberFormat="1" applyFont="1" applyAlignment="1">
      <alignment horizontal="center"/>
    </xf>
    <xf numFmtId="165" fontId="3" fillId="0" borderId="0" xfId="7" applyNumberFormat="1" applyFont="1"/>
    <xf numFmtId="165" fontId="3" fillId="0" borderId="0" xfId="5" applyNumberFormat="1" applyFont="1"/>
    <xf numFmtId="0" fontId="3" fillId="0" borderId="3" xfId="4" applyFont="1" applyBorder="1"/>
    <xf numFmtId="0" fontId="3" fillId="0" borderId="3" xfId="4" applyFont="1" applyBorder="1" applyAlignment="1">
      <alignment horizontal="center" wrapText="1"/>
    </xf>
    <xf numFmtId="0" fontId="3" fillId="0" borderId="0" xfId="4" applyFont="1" applyAlignment="1">
      <alignment horizontal="center" wrapText="1"/>
    </xf>
    <xf numFmtId="41" fontId="3" fillId="0" borderId="0" xfId="4" applyNumberFormat="1" applyFont="1"/>
    <xf numFmtId="165" fontId="3" fillId="0" borderId="0" xfId="8" applyNumberFormat="1" applyFont="1"/>
    <xf numFmtId="9" fontId="3" fillId="0" borderId="0" xfId="4" applyNumberFormat="1" applyFont="1" applyAlignment="1">
      <alignment horizontal="center"/>
    </xf>
    <xf numFmtId="165" fontId="3" fillId="0" borderId="0" xfId="8" applyNumberFormat="1" applyFont="1" applyAlignment="1">
      <alignment horizontal="center" wrapText="1"/>
    </xf>
    <xf numFmtId="165" fontId="3" fillId="0" borderId="0" xfId="8" applyNumberFormat="1" applyFont="1" applyFill="1" applyAlignment="1">
      <alignment horizontal="center" wrapText="1"/>
    </xf>
    <xf numFmtId="9" fontId="2" fillId="0" borderId="0" xfId="4" applyNumberFormat="1" applyFont="1" applyAlignment="1">
      <alignment horizontal="center"/>
    </xf>
    <xf numFmtId="165" fontId="3" fillId="0" borderId="0" xfId="8" applyNumberFormat="1" applyFont="1" applyFill="1"/>
    <xf numFmtId="165" fontId="3" fillId="0" borderId="0" xfId="7" applyNumberFormat="1" applyFont="1" applyFill="1"/>
    <xf numFmtId="9" fontId="2" fillId="0" borderId="0" xfId="9" applyFont="1"/>
    <xf numFmtId="165" fontId="2" fillId="0" borderId="0" xfId="8" applyNumberFormat="1" applyFont="1" applyFill="1"/>
    <xf numFmtId="165" fontId="2" fillId="0" borderId="0" xfId="8" applyNumberFormat="1" applyFont="1" applyAlignment="1">
      <alignment horizontal="center" wrapText="1"/>
    </xf>
    <xf numFmtId="165" fontId="2" fillId="0" borderId="0" xfId="8" applyNumberFormat="1" applyFont="1" applyAlignment="1">
      <alignment horizontal="center"/>
    </xf>
    <xf numFmtId="165" fontId="2" fillId="0" borderId="0" xfId="8" applyNumberFormat="1" applyFont="1" applyFill="1" applyAlignment="1">
      <alignment horizontal="center" wrapText="1"/>
    </xf>
    <xf numFmtId="165" fontId="2" fillId="0" borderId="0" xfId="8" applyNumberFormat="1" applyFont="1" applyFill="1" applyAlignment="1">
      <alignment horizontal="center"/>
    </xf>
    <xf numFmtId="165" fontId="2" fillId="0" borderId="0" xfId="8" applyNumberFormat="1" applyFont="1"/>
    <xf numFmtId="165" fontId="2" fillId="0" borderId="0" xfId="5" applyNumberFormat="1" applyFont="1" applyFill="1"/>
    <xf numFmtId="165" fontId="4" fillId="0" borderId="0" xfId="5" applyNumberFormat="1" applyFont="1"/>
    <xf numFmtId="165" fontId="3" fillId="0" borderId="0" xfId="8" applyNumberFormat="1" applyFont="1" applyAlignment="1">
      <alignment horizontal="center"/>
    </xf>
    <xf numFmtId="165" fontId="2" fillId="0" borderId="0" xfId="5" applyNumberFormat="1" applyFont="1" applyAlignment="1">
      <alignment horizontal="center" wrapText="1"/>
    </xf>
    <xf numFmtId="0" fontId="3" fillId="0" borderId="0" xfId="4" applyFont="1" applyAlignment="1">
      <alignment wrapText="1"/>
    </xf>
    <xf numFmtId="165" fontId="3" fillId="0" borderId="0" xfId="7" applyNumberFormat="1" applyFont="1" applyAlignment="1">
      <alignment horizontal="center"/>
    </xf>
    <xf numFmtId="165" fontId="2" fillId="0" borderId="0" xfId="7" applyNumberFormat="1" applyFont="1"/>
    <xf numFmtId="165" fontId="3" fillId="0" borderId="0" xfId="4" applyNumberFormat="1" applyFont="1"/>
    <xf numFmtId="166" fontId="3" fillId="0" borderId="0" xfId="4" applyNumberFormat="1" applyFont="1"/>
    <xf numFmtId="9" fontId="2" fillId="0" borderId="0" xfId="9" applyFont="1" applyAlignment="1">
      <alignment horizontal="center"/>
    </xf>
    <xf numFmtId="9" fontId="3" fillId="0" borderId="0" xfId="9" applyFont="1" applyAlignment="1">
      <alignment horizontal="center"/>
    </xf>
    <xf numFmtId="165" fontId="2" fillId="0" borderId="0" xfId="8" applyNumberFormat="1" applyFont="1" applyAlignment="1">
      <alignment horizontal="centerContinuous"/>
    </xf>
    <xf numFmtId="165" fontId="6" fillId="0" borderId="0" xfId="5" applyNumberFormat="1" applyFont="1"/>
    <xf numFmtId="165" fontId="3" fillId="0" borderId="0" xfId="8" applyNumberFormat="1" applyFont="1" applyAlignment="1">
      <alignment wrapText="1"/>
    </xf>
    <xf numFmtId="165" fontId="3" fillId="0" borderId="0" xfId="8" applyNumberFormat="1" applyFont="1" applyFill="1" applyAlignment="1">
      <alignment wrapText="1"/>
    </xf>
    <xf numFmtId="165" fontId="2" fillId="0" borderId="0" xfId="8" applyNumberFormat="1" applyFont="1" applyFill="1" applyAlignment="1">
      <alignment horizontal="centerContinuous"/>
    </xf>
    <xf numFmtId="37" fontId="3" fillId="0" borderId="0" xfId="4" applyNumberFormat="1" applyFont="1"/>
    <xf numFmtId="165" fontId="2" fillId="0" borderId="0" xfId="5" applyNumberFormat="1" applyFont="1" applyAlignment="1">
      <alignment wrapText="1"/>
    </xf>
    <xf numFmtId="165" fontId="2" fillId="0" borderId="0" xfId="7" applyNumberFormat="1" applyFont="1" applyAlignment="1">
      <alignment wrapText="1"/>
    </xf>
    <xf numFmtId="165" fontId="2" fillId="0" borderId="0" xfId="7" applyNumberFormat="1" applyFont="1" applyAlignment="1">
      <alignment horizontal="center" vertical="center" wrapText="1"/>
    </xf>
    <xf numFmtId="165" fontId="3" fillId="0" borderId="0" xfId="7" applyNumberFormat="1" applyFont="1" applyAlignment="1">
      <alignment horizontal="center" vertical="center"/>
    </xf>
    <xf numFmtId="0" fontId="6" fillId="0" borderId="0" xfId="4" applyFont="1" applyAlignment="1">
      <alignment wrapText="1"/>
    </xf>
    <xf numFmtId="0" fontId="3" fillId="0" borderId="0" xfId="10" applyFont="1"/>
    <xf numFmtId="165" fontId="3" fillId="4" borderId="0" xfId="7" applyNumberFormat="1" applyFont="1" applyFill="1"/>
    <xf numFmtId="9" fontId="3" fillId="4" borderId="0" xfId="4" applyNumberFormat="1" applyFont="1" applyFill="1" applyAlignment="1">
      <alignment horizontal="center"/>
    </xf>
    <xf numFmtId="165" fontId="3" fillId="0" borderId="4" xfId="8" applyNumberFormat="1" applyFont="1" applyBorder="1" applyAlignment="1">
      <alignment horizontal="centerContinuous"/>
    </xf>
    <xf numFmtId="165" fontId="3" fillId="0" borderId="5" xfId="8" applyNumberFormat="1" applyFont="1" applyBorder="1" applyAlignment="1">
      <alignment horizontal="centerContinuous"/>
    </xf>
    <xf numFmtId="165" fontId="3" fillId="0" borderId="6" xfId="8" applyNumberFormat="1" applyFont="1" applyBorder="1" applyAlignment="1">
      <alignment horizontal="centerContinuous"/>
    </xf>
    <xf numFmtId="165" fontId="3" fillId="0" borderId="0" xfId="7" applyNumberFormat="1" applyFont="1" applyAlignment="1">
      <alignment wrapText="1"/>
    </xf>
    <xf numFmtId="165" fontId="3" fillId="0" borderId="0" xfId="7" applyNumberFormat="1" applyFont="1" applyAlignment="1"/>
    <xf numFmtId="0" fontId="3" fillId="0" borderId="3" xfId="4" applyFont="1" applyBorder="1" applyAlignment="1">
      <alignment horizontal="center"/>
    </xf>
    <xf numFmtId="165" fontId="2" fillId="0" borderId="0" xfId="7" applyNumberFormat="1" applyFont="1" applyAlignment="1">
      <alignment horizontal="center" wrapText="1"/>
    </xf>
    <xf numFmtId="165" fontId="3" fillId="0" borderId="0" xfId="7" applyNumberFormat="1" applyFont="1" applyAlignment="1">
      <alignment horizontal="center" wrapText="1"/>
    </xf>
    <xf numFmtId="41" fontId="3" fillId="0" borderId="3" xfId="4" applyNumberFormat="1" applyFont="1" applyBorder="1"/>
    <xf numFmtId="166" fontId="3" fillId="0" borderId="3" xfId="4" applyNumberFormat="1" applyFont="1" applyBorder="1"/>
    <xf numFmtId="165" fontId="4" fillId="0" borderId="0" xfId="5" applyNumberFormat="1" applyFont="1" applyAlignment="1">
      <alignment wrapText="1"/>
    </xf>
    <xf numFmtId="9" fontId="5" fillId="0" borderId="0" xfId="9" applyFont="1" applyAlignment="1">
      <alignment horizontal="center"/>
    </xf>
    <xf numFmtId="165" fontId="4" fillId="0" borderId="0" xfId="8" applyNumberFormat="1" applyFont="1"/>
    <xf numFmtId="41" fontId="3" fillId="0" borderId="0" xfId="4" applyNumberFormat="1" applyFont="1" applyAlignment="1">
      <alignment horizontal="right"/>
    </xf>
    <xf numFmtId="165" fontId="2" fillId="0" borderId="0" xfId="7" applyNumberFormat="1" applyFont="1" applyAlignment="1">
      <alignment horizontal="right"/>
    </xf>
    <xf numFmtId="165" fontId="3" fillId="0" borderId="0" xfId="8" applyNumberFormat="1" applyFont="1" applyAlignment="1">
      <alignment horizontal="right"/>
    </xf>
    <xf numFmtId="166" fontId="3" fillId="0" borderId="0" xfId="4" applyNumberFormat="1" applyFont="1" applyAlignment="1">
      <alignment horizontal="right"/>
    </xf>
    <xf numFmtId="0" fontId="5" fillId="0" borderId="0" xfId="4" applyFont="1"/>
    <xf numFmtId="0" fontId="2" fillId="0" borderId="0" xfId="4" applyFont="1"/>
    <xf numFmtId="165" fontId="3" fillId="0" borderId="0" xfId="8" applyNumberFormat="1" applyFont="1" applyFill="1" applyAlignment="1">
      <alignment horizontal="center" vertical="center" wrapText="1"/>
    </xf>
    <xf numFmtId="165" fontId="3" fillId="0" borderId="0" xfId="8" applyNumberFormat="1" applyFont="1" applyFill="1" applyAlignment="1">
      <alignment horizontal="center"/>
    </xf>
    <xf numFmtId="168" fontId="3" fillId="0" borderId="0" xfId="8" applyNumberFormat="1" applyFont="1" applyFill="1"/>
    <xf numFmtId="168" fontId="3" fillId="0" borderId="0" xfId="8" applyNumberFormat="1" applyFont="1" applyFill="1" applyAlignment="1">
      <alignment horizontal="center" wrapText="1"/>
    </xf>
    <xf numFmtId="168" fontId="3" fillId="0" borderId="0" xfId="8" applyNumberFormat="1" applyFont="1" applyFill="1" applyAlignment="1">
      <alignment horizontal="center"/>
    </xf>
    <xf numFmtId="0" fontId="2" fillId="0" borderId="0" xfId="4" applyFont="1" applyAlignment="1">
      <alignment horizontal="left"/>
    </xf>
    <xf numFmtId="0" fontId="2" fillId="0" borderId="0" xfId="4" applyFont="1" applyAlignment="1">
      <alignment horizontal="center"/>
    </xf>
    <xf numFmtId="0" fontId="2" fillId="0" borderId="0" xfId="4" applyFont="1" applyAlignment="1">
      <alignment horizontal="right"/>
    </xf>
    <xf numFmtId="0" fontId="2" fillId="0" borderId="3" xfId="4" applyFont="1" applyBorder="1"/>
    <xf numFmtId="0" fontId="2" fillId="0" borderId="3" xfId="4" applyFont="1" applyBorder="1" applyAlignment="1">
      <alignment horizontal="center" wrapText="1"/>
    </xf>
    <xf numFmtId="41" fontId="2" fillId="0" borderId="0" xfId="4" applyNumberFormat="1" applyFont="1"/>
    <xf numFmtId="0" fontId="2" fillId="0" borderId="0" xfId="4" applyFont="1" applyAlignment="1">
      <alignment horizontal="center" wrapText="1"/>
    </xf>
    <xf numFmtId="166" fontId="2" fillId="0" borderId="0" xfId="4" applyNumberFormat="1" applyFont="1"/>
    <xf numFmtId="0" fontId="8" fillId="0" borderId="0" xfId="4" applyFont="1"/>
    <xf numFmtId="0" fontId="4" fillId="0" borderId="0" xfId="4" applyFont="1" applyAlignment="1">
      <alignment wrapText="1"/>
    </xf>
    <xf numFmtId="165" fontId="2" fillId="0" borderId="7" xfId="8" applyNumberFormat="1" applyFont="1" applyBorder="1" applyAlignment="1">
      <alignment horizontal="center" wrapText="1"/>
    </xf>
    <xf numFmtId="165" fontId="2" fillId="5" borderId="7" xfId="8" applyNumberFormat="1" applyFont="1" applyFill="1" applyBorder="1" applyAlignment="1">
      <alignment horizontal="center"/>
    </xf>
    <xf numFmtId="165" fontId="2" fillId="0" borderId="7" xfId="8" applyNumberFormat="1" applyFont="1" applyBorder="1"/>
    <xf numFmtId="165" fontId="9" fillId="0" borderId="0" xfId="8" applyNumberFormat="1" applyFont="1"/>
    <xf numFmtId="165" fontId="9" fillId="0" borderId="0" xfId="5" applyNumberFormat="1" applyFont="1"/>
    <xf numFmtId="165" fontId="3" fillId="0" borderId="0" xfId="7" applyNumberFormat="1" applyFont="1" applyAlignment="1">
      <alignment horizontal="centerContinuous"/>
    </xf>
    <xf numFmtId="0" fontId="4" fillId="0" borderId="0" xfId="4" applyFont="1" applyAlignment="1">
      <alignment horizontal="left"/>
    </xf>
    <xf numFmtId="0" fontId="4" fillId="0" borderId="0" xfId="4" applyFont="1" applyAlignment="1">
      <alignment horizontal="right"/>
    </xf>
    <xf numFmtId="165" fontId="2" fillId="0" borderId="3" xfId="8" applyNumberFormat="1" applyFont="1" applyBorder="1" applyAlignment="1">
      <alignment horizontal="center" wrapText="1"/>
    </xf>
    <xf numFmtId="169" fontId="3" fillId="0" borderId="0" xfId="8" applyNumberFormat="1" applyFont="1"/>
    <xf numFmtId="0" fontId="3" fillId="2" borderId="0" xfId="12" quotePrefix="1" applyFill="1"/>
    <xf numFmtId="0" fontId="3" fillId="2" borderId="0" xfId="12" applyFill="1"/>
    <xf numFmtId="0" fontId="3" fillId="2" borderId="0" xfId="12" applyFill="1" applyAlignment="1">
      <alignment horizontal="right"/>
    </xf>
    <xf numFmtId="0" fontId="2" fillId="2" borderId="0" xfId="12" applyFont="1" applyFill="1" applyAlignment="1">
      <alignment horizontal="right"/>
    </xf>
    <xf numFmtId="0" fontId="6" fillId="2" borderId="0" xfId="12" applyFont="1" applyFill="1" applyAlignment="1">
      <alignment horizontal="right"/>
    </xf>
    <xf numFmtId="0" fontId="3" fillId="2" borderId="0" xfId="12" applyFill="1" applyAlignment="1">
      <alignment horizontal="center" wrapText="1"/>
    </xf>
    <xf numFmtId="0" fontId="3" fillId="2" borderId="0" xfId="12" applyFill="1" applyAlignment="1">
      <alignment horizontal="right" wrapText="1"/>
    </xf>
    <xf numFmtId="0" fontId="6" fillId="2" borderId="0" xfId="12" applyFont="1" applyFill="1" applyAlignment="1">
      <alignment horizontal="right" wrapText="1"/>
    </xf>
    <xf numFmtId="0" fontId="2" fillId="2" borderId="0" xfId="12" applyFont="1" applyFill="1" applyAlignment="1">
      <alignment horizontal="right" wrapText="1"/>
    </xf>
    <xf numFmtId="0" fontId="3" fillId="2" borderId="0" xfId="12" applyFill="1" applyAlignment="1">
      <alignment horizontal="left"/>
    </xf>
    <xf numFmtId="3" fontId="6" fillId="2" borderId="0" xfId="12" applyNumberFormat="1" applyFont="1" applyFill="1" applyAlignment="1">
      <alignment horizontal="right"/>
    </xf>
    <xf numFmtId="0" fontId="6" fillId="2" borderId="0" xfId="12" applyFont="1" applyFill="1"/>
    <xf numFmtId="0" fontId="3" fillId="2" borderId="0" xfId="12" applyFill="1" applyAlignment="1">
      <alignment horizontal="center"/>
    </xf>
    <xf numFmtId="3" fontId="3" fillId="2" borderId="0" xfId="12" applyNumberFormat="1" applyFill="1" applyAlignment="1">
      <alignment horizontal="right"/>
    </xf>
    <xf numFmtId="3" fontId="6" fillId="2" borderId="0" xfId="12" applyNumberFormat="1" applyFont="1" applyFill="1"/>
    <xf numFmtId="0" fontId="6" fillId="2" borderId="0" xfId="12" applyFont="1" applyFill="1" applyAlignment="1">
      <alignment horizontal="left"/>
    </xf>
    <xf numFmtId="9" fontId="3" fillId="2" borderId="0" xfId="9" applyFill="1" applyAlignment="1">
      <alignment horizontal="left"/>
    </xf>
    <xf numFmtId="3" fontId="3" fillId="2" borderId="0" xfId="12" applyNumberFormat="1" applyFill="1"/>
    <xf numFmtId="14" fontId="3" fillId="0" borderId="0" xfId="2" applyNumberFormat="1" applyFont="1"/>
    <xf numFmtId="9" fontId="3" fillId="0" borderId="0" xfId="1" applyFont="1" applyFill="1" applyBorder="1" applyAlignment="1">
      <alignment horizontal="center"/>
    </xf>
    <xf numFmtId="9" fontId="2" fillId="0" borderId="0" xfId="9" applyFont="1" applyFill="1" applyAlignment="1">
      <alignment horizontal="center"/>
    </xf>
    <xf numFmtId="9" fontId="0" fillId="0" borderId="0" xfId="4" applyNumberFormat="1" applyFont="1" applyAlignment="1">
      <alignment horizontal="center"/>
    </xf>
    <xf numFmtId="41" fontId="3" fillId="3" borderId="0" xfId="4" applyNumberFormat="1" applyFont="1" applyFill="1"/>
    <xf numFmtId="9" fontId="3" fillId="0" borderId="2" xfId="1" applyFont="1" applyFill="1" applyBorder="1" applyAlignment="1">
      <alignment horizontal="center"/>
    </xf>
    <xf numFmtId="9" fontId="5" fillId="3" borderId="0" xfId="56" applyFont="1" applyFill="1" applyAlignment="1">
      <alignment horizontal="center"/>
    </xf>
    <xf numFmtId="9" fontId="0" fillId="0" borderId="0" xfId="56" applyFont="1" applyAlignment="1">
      <alignment horizontal="center"/>
    </xf>
    <xf numFmtId="9" fontId="3" fillId="0" borderId="0" xfId="56" applyFont="1" applyAlignment="1">
      <alignment horizontal="center"/>
    </xf>
    <xf numFmtId="0" fontId="5" fillId="0" borderId="0" xfId="12" applyFont="1"/>
    <xf numFmtId="0" fontId="3" fillId="0" borderId="0" xfId="12" applyAlignment="1">
      <alignment horizontal="right"/>
    </xf>
    <xf numFmtId="0" fontId="3" fillId="0" borderId="0" xfId="12" applyAlignment="1">
      <alignment horizontal="center"/>
    </xf>
    <xf numFmtId="0" fontId="3" fillId="0" borderId="0" xfId="12"/>
    <xf numFmtId="0" fontId="30" fillId="3" borderId="0" xfId="12" applyFont="1" applyFill="1" applyAlignment="1">
      <alignment horizontal="right"/>
    </xf>
    <xf numFmtId="14" fontId="3" fillId="0" borderId="0" xfId="4" applyNumberFormat="1" applyFont="1"/>
    <xf numFmtId="0" fontId="3" fillId="0" borderId="0" xfId="254" applyFont="1" applyAlignment="1">
      <alignment horizontal="center"/>
    </xf>
    <xf numFmtId="165" fontId="3" fillId="0" borderId="0" xfId="5" applyNumberFormat="1" applyFont="1" applyFill="1"/>
    <xf numFmtId="165" fontId="3" fillId="0" borderId="0" xfId="5" applyNumberFormat="1" applyFont="1" applyFill="1" applyAlignment="1">
      <alignment horizontal="center" wrapText="1"/>
    </xf>
    <xf numFmtId="165" fontId="0" fillId="0" borderId="0" xfId="8" applyNumberFormat="1" applyFont="1"/>
    <xf numFmtId="3" fontId="3" fillId="0" borderId="0" xfId="12" applyNumberFormat="1"/>
    <xf numFmtId="0" fontId="0" fillId="0" borderId="0" xfId="254" applyFont="1" applyAlignment="1">
      <alignment horizontal="center"/>
    </xf>
    <xf numFmtId="41" fontId="0" fillId="0" borderId="0" xfId="4" applyNumberFormat="1" applyFont="1"/>
    <xf numFmtId="165" fontId="0" fillId="0" borderId="0" xfId="7" applyNumberFormat="1" applyFont="1"/>
    <xf numFmtId="165" fontId="0" fillId="0" borderId="0" xfId="5" applyNumberFormat="1" applyFont="1"/>
    <xf numFmtId="0" fontId="0" fillId="0" borderId="0" xfId="4" applyFont="1"/>
    <xf numFmtId="165" fontId="0" fillId="0" borderId="0" xfId="8" applyNumberFormat="1" applyFont="1" applyAlignment="1">
      <alignment horizontal="center" wrapText="1"/>
    </xf>
    <xf numFmtId="165" fontId="2" fillId="0" borderId="0" xfId="5" applyNumberFormat="1" applyFont="1" applyAlignment="1">
      <alignment horizontal="center"/>
    </xf>
    <xf numFmtId="165" fontId="3" fillId="0" borderId="0" xfId="4" applyNumberFormat="1" applyFont="1" applyAlignment="1">
      <alignment horizontal="center"/>
    </xf>
    <xf numFmtId="165" fontId="3" fillId="0" borderId="0" xfId="12" applyNumberFormat="1"/>
    <xf numFmtId="165" fontId="0" fillId="0" borderId="0" xfId="7" applyNumberFormat="1" applyFont="1" applyFill="1"/>
    <xf numFmtId="10" fontId="3" fillId="0" borderId="0" xfId="4" applyNumberFormat="1" applyFont="1" applyAlignment="1">
      <alignment horizontal="center"/>
    </xf>
    <xf numFmtId="9" fontId="5" fillId="0" borderId="0" xfId="9" applyFont="1" applyFill="1" applyAlignment="1">
      <alignment horizontal="center"/>
    </xf>
    <xf numFmtId="165" fontId="3" fillId="0" borderId="0" xfId="7" applyNumberFormat="1" applyFont="1" applyFill="1" applyBorder="1"/>
    <xf numFmtId="165" fontId="2" fillId="0" borderId="0" xfId="5" applyNumberFormat="1" applyFont="1" applyFill="1" applyAlignment="1">
      <alignment horizontal="center"/>
    </xf>
    <xf numFmtId="170" fontId="3" fillId="0" borderId="0" xfId="4" applyNumberFormat="1" applyFont="1"/>
    <xf numFmtId="165" fontId="3" fillId="0" borderId="0" xfId="7" applyNumberFormat="1" applyFont="1" applyFill="1" applyAlignment="1">
      <alignment horizontal="center"/>
    </xf>
    <xf numFmtId="165" fontId="2" fillId="0" borderId="0" xfId="7" applyNumberFormat="1" applyFont="1" applyAlignment="1">
      <alignment horizontal="center"/>
    </xf>
    <xf numFmtId="164" fontId="3" fillId="0" borderId="0" xfId="56" applyNumberFormat="1" applyFont="1" applyAlignment="1">
      <alignment horizontal="center" wrapText="1"/>
    </xf>
    <xf numFmtId="165" fontId="2" fillId="0" borderId="0" xfId="7" applyNumberFormat="1" applyFont="1" applyFill="1" applyAlignment="1">
      <alignment horizontal="center"/>
    </xf>
    <xf numFmtId="165" fontId="2" fillId="0" borderId="0" xfId="7" applyNumberFormat="1" applyFont="1" applyFill="1"/>
    <xf numFmtId="10" fontId="3" fillId="0" borderId="0" xfId="56" applyNumberFormat="1" applyFont="1" applyAlignment="1">
      <alignment horizontal="center" wrapText="1"/>
    </xf>
    <xf numFmtId="41" fontId="3" fillId="4" borderId="0" xfId="4" applyNumberFormat="1" applyFont="1" applyFill="1"/>
    <xf numFmtId="3" fontId="3" fillId="4" borderId="0" xfId="12" applyNumberFormat="1" applyFill="1"/>
    <xf numFmtId="165" fontId="2" fillId="4" borderId="0" xfId="5" applyNumberFormat="1" applyFont="1" applyFill="1" applyAlignment="1">
      <alignment horizontal="center" wrapText="1"/>
    </xf>
    <xf numFmtId="165" fontId="2" fillId="4" borderId="0" xfId="8" applyNumberFormat="1" applyFont="1" applyFill="1" applyAlignment="1">
      <alignment horizontal="center"/>
    </xf>
    <xf numFmtId="165" fontId="2" fillId="0" borderId="0" xfId="5" applyNumberFormat="1" applyFont="1" applyFill="1" applyAlignment="1">
      <alignment horizontal="center" wrapText="1"/>
    </xf>
    <xf numFmtId="165" fontId="3" fillId="0" borderId="0" xfId="5" applyNumberFormat="1" applyFont="1" applyFill="1" applyAlignment="1">
      <alignment horizontal="center"/>
    </xf>
    <xf numFmtId="0" fontId="4" fillId="0" borderId="0" xfId="12" applyFont="1"/>
    <xf numFmtId="14" fontId="3" fillId="0" borderId="0" xfId="12" applyNumberFormat="1"/>
    <xf numFmtId="165" fontId="3" fillId="0" borderId="0" xfId="5" applyNumberFormat="1" applyFont="1" applyAlignment="1">
      <alignment horizontal="centerContinuous"/>
    </xf>
    <xf numFmtId="165" fontId="2" fillId="0" borderId="0" xfId="5" applyNumberFormat="1" applyFont="1" applyAlignment="1">
      <alignment horizontal="centerContinuous"/>
    </xf>
    <xf numFmtId="0" fontId="3" fillId="0" borderId="3" xfId="12" applyBorder="1" applyAlignment="1">
      <alignment horizontal="center" wrapText="1"/>
    </xf>
    <xf numFmtId="0" fontId="3" fillId="0" borderId="0" xfId="12" applyAlignment="1">
      <alignment horizontal="center" wrapText="1"/>
    </xf>
    <xf numFmtId="9" fontId="3" fillId="0" borderId="0" xfId="12" applyNumberFormat="1" applyAlignment="1">
      <alignment horizontal="center"/>
    </xf>
    <xf numFmtId="164" fontId="3" fillId="0" borderId="0" xfId="12" applyNumberFormat="1"/>
    <xf numFmtId="166" fontId="3" fillId="0" borderId="0" xfId="12" applyNumberFormat="1"/>
    <xf numFmtId="9" fontId="6" fillId="0" borderId="0" xfId="56" applyFont="1" applyAlignment="1">
      <alignment horizontal="center"/>
    </xf>
    <xf numFmtId="167" fontId="3" fillId="0" borderId="0" xfId="12" applyNumberFormat="1"/>
    <xf numFmtId="165" fontId="0" fillId="0" borderId="0" xfId="8" applyNumberFormat="1" applyFont="1" applyAlignment="1">
      <alignment wrapText="1"/>
    </xf>
    <xf numFmtId="41" fontId="3" fillId="0" borderId="0" xfId="12" applyNumberFormat="1"/>
    <xf numFmtId="37" fontId="3" fillId="0" borderId="0" xfId="12" applyNumberFormat="1"/>
    <xf numFmtId="9" fontId="3" fillId="0" borderId="0" xfId="56" applyFont="1" applyAlignment="1">
      <alignment horizontal="center" wrapText="1"/>
    </xf>
    <xf numFmtId="165" fontId="0" fillId="0" borderId="0" xfId="5" applyNumberFormat="1" applyFont="1" applyAlignment="1">
      <alignment horizontal="center"/>
    </xf>
    <xf numFmtId="9" fontId="3" fillId="0" borderId="0" xfId="56" applyFont="1"/>
    <xf numFmtId="0" fontId="3" fillId="0" borderId="0" xfId="4" applyFont="1" applyAlignment="1">
      <alignment horizontal="right" wrapText="1"/>
    </xf>
    <xf numFmtId="0" fontId="3" fillId="0" borderId="3" xfId="4" applyFont="1" applyBorder="1" applyAlignment="1">
      <alignment wrapText="1"/>
    </xf>
    <xf numFmtId="0" fontId="3" fillId="0" borderId="0" xfId="12" applyAlignment="1">
      <alignment wrapText="1"/>
    </xf>
    <xf numFmtId="0" fontId="0" fillId="0" borderId="0" xfId="4" applyFont="1" applyAlignment="1">
      <alignment horizontal="center"/>
    </xf>
    <xf numFmtId="165" fontId="0" fillId="0" borderId="0" xfId="8" applyNumberFormat="1" applyFont="1" applyAlignment="1">
      <alignment horizontal="center"/>
    </xf>
    <xf numFmtId="165" fontId="0" fillId="0" borderId="0" xfId="7" applyNumberFormat="1" applyFont="1" applyAlignment="1">
      <alignment wrapText="1"/>
    </xf>
    <xf numFmtId="9" fontId="3" fillId="0" borderId="0" xfId="56" applyAlignment="1">
      <alignment horizontal="center"/>
    </xf>
    <xf numFmtId="171" fontId="3" fillId="0" borderId="0" xfId="4" applyNumberFormat="1" applyFont="1"/>
    <xf numFmtId="0" fontId="3" fillId="0" borderId="3" xfId="4" applyFont="1" applyBorder="1" applyAlignment="1">
      <alignment horizontal="right"/>
    </xf>
    <xf numFmtId="165" fontId="0" fillId="0" borderId="0" xfId="7" applyNumberFormat="1" applyFont="1" applyAlignment="1">
      <alignment horizontal="left"/>
    </xf>
    <xf numFmtId="171" fontId="3" fillId="0" borderId="0" xfId="4" applyNumberFormat="1" applyFont="1" applyAlignment="1">
      <alignment horizontal="center"/>
    </xf>
    <xf numFmtId="171" fontId="0" fillId="0" borderId="0" xfId="4" applyNumberFormat="1" applyFont="1"/>
    <xf numFmtId="0" fontId="0" fillId="0" borderId="3" xfId="4" applyFont="1" applyBorder="1" applyAlignment="1">
      <alignment horizontal="right"/>
    </xf>
    <xf numFmtId="165" fontId="0" fillId="0" borderId="0" xfId="7" applyNumberFormat="1" applyFont="1" applyAlignment="1">
      <alignment horizontal="center"/>
    </xf>
    <xf numFmtId="170" fontId="0" fillId="0" borderId="0" xfId="4" applyNumberFormat="1" applyFont="1"/>
    <xf numFmtId="165" fontId="3" fillId="0" borderId="0" xfId="8" applyNumberFormat="1" applyFont="1" applyFill="1" applyAlignment="1">
      <alignment horizontal="left"/>
    </xf>
    <xf numFmtId="9" fontId="3" fillId="0" borderId="0" xfId="9" applyFont="1" applyFill="1" applyAlignment="1">
      <alignment horizontal="center"/>
    </xf>
    <xf numFmtId="0" fontId="3" fillId="0" borderId="3" xfId="12" applyBorder="1"/>
    <xf numFmtId="165" fontId="3" fillId="0" borderId="0" xfId="4" applyNumberFormat="1" applyFont="1" applyAlignment="1">
      <alignment horizontal="center" wrapText="1"/>
    </xf>
    <xf numFmtId="0" fontId="8" fillId="0" borderId="0" xfId="12" applyFont="1"/>
    <xf numFmtId="0" fontId="2" fillId="0" borderId="0" xfId="12" applyFont="1"/>
    <xf numFmtId="0" fontId="2" fillId="0" borderId="0" xfId="12" applyFont="1" applyAlignment="1">
      <alignment horizontal="center"/>
    </xf>
    <xf numFmtId="0" fontId="2" fillId="0" borderId="0" xfId="12" applyFont="1" applyAlignment="1">
      <alignment horizontal="left"/>
    </xf>
    <xf numFmtId="0" fontId="2" fillId="0" borderId="0" xfId="12" applyFont="1" applyAlignment="1">
      <alignment horizontal="center" wrapText="1"/>
    </xf>
    <xf numFmtId="9" fontId="2" fillId="0" borderId="0" xfId="12" applyNumberFormat="1" applyFont="1" applyAlignment="1">
      <alignment horizontal="center"/>
    </xf>
    <xf numFmtId="9" fontId="2" fillId="0" borderId="0" xfId="56" applyFont="1" applyAlignment="1">
      <alignment horizontal="center"/>
    </xf>
    <xf numFmtId="165" fontId="2" fillId="0" borderId="0" xfId="4" applyNumberFormat="1" applyFont="1" applyAlignment="1">
      <alignment horizontal="center"/>
    </xf>
    <xf numFmtId="165" fontId="3" fillId="37" borderId="0" xfId="8" applyNumberFormat="1" applyFont="1" applyFill="1"/>
    <xf numFmtId="165" fontId="2" fillId="0" borderId="0" xfId="4" applyNumberFormat="1" applyFont="1"/>
    <xf numFmtId="170" fontId="2" fillId="0" borderId="0" xfId="4" applyNumberFormat="1" applyFont="1"/>
    <xf numFmtId="3" fontId="2" fillId="0" borderId="0" xfId="4" applyNumberFormat="1" applyFont="1"/>
    <xf numFmtId="9" fontId="0" fillId="0" borderId="0" xfId="9" applyFont="1" applyAlignment="1">
      <alignment horizontal="center"/>
    </xf>
    <xf numFmtId="0" fontId="4" fillId="38" borderId="0" xfId="4" applyFont="1" applyFill="1"/>
    <xf numFmtId="0" fontId="4" fillId="38" borderId="0" xfId="4" applyFont="1" applyFill="1" applyAlignment="1">
      <alignment wrapText="1"/>
    </xf>
    <xf numFmtId="170" fontId="3" fillId="0" borderId="0" xfId="12" applyNumberFormat="1"/>
    <xf numFmtId="0" fontId="2" fillId="0" borderId="0" xfId="12" applyFont="1" applyAlignment="1">
      <alignment wrapText="1"/>
    </xf>
    <xf numFmtId="165" fontId="3" fillId="3" borderId="0" xfId="5" applyNumberFormat="1" applyFont="1" applyFill="1"/>
    <xf numFmtId="0" fontId="2" fillId="0" borderId="0" xfId="12" applyFont="1" applyAlignment="1">
      <alignment horizontal="right"/>
    </xf>
    <xf numFmtId="9" fontId="2" fillId="0" borderId="0" xfId="56" applyFont="1"/>
    <xf numFmtId="0" fontId="3" fillId="0" borderId="3" xfId="12" applyBorder="1" applyAlignment="1">
      <alignment wrapText="1"/>
    </xf>
    <xf numFmtId="164" fontId="2" fillId="0" borderId="0" xfId="56" applyNumberFormat="1" applyFont="1"/>
    <xf numFmtId="165" fontId="3" fillId="3" borderId="0" xfId="8" applyNumberFormat="1" applyFont="1" applyFill="1"/>
    <xf numFmtId="165" fontId="6" fillId="0" borderId="0" xfId="5" applyNumberFormat="1" applyFont="1" applyFill="1"/>
    <xf numFmtId="165" fontId="2" fillId="0" borderId="0" xfId="7" applyNumberFormat="1" applyFont="1" applyFill="1" applyAlignment="1">
      <alignment horizontal="center" wrapText="1"/>
    </xf>
    <xf numFmtId="9" fontId="3" fillId="0" borderId="0" xfId="56" applyFont="1" applyFill="1"/>
    <xf numFmtId="9" fontId="3" fillId="0" borderId="0" xfId="12" applyNumberFormat="1"/>
    <xf numFmtId="0" fontId="0" fillId="0" borderId="0" xfId="4" applyFont="1" applyAlignment="1">
      <alignment horizontal="center" wrapText="1"/>
    </xf>
    <xf numFmtId="165" fontId="3" fillId="0" borderId="0" xfId="7" applyNumberFormat="1" applyFont="1" applyFill="1" applyAlignment="1">
      <alignment horizontal="centerContinuous"/>
    </xf>
    <xf numFmtId="165" fontId="2" fillId="0" borderId="0" xfId="8" applyNumberFormat="1" applyFont="1" applyBorder="1" applyAlignment="1">
      <alignment horizontal="center" wrapText="1"/>
    </xf>
    <xf numFmtId="165" fontId="6" fillId="0" borderId="0" xfId="8" applyNumberFormat="1" applyFont="1" applyAlignment="1">
      <alignment horizontal="center" wrapText="1"/>
    </xf>
    <xf numFmtId="43" fontId="0" fillId="0" borderId="0" xfId="7" applyFont="1"/>
    <xf numFmtId="165" fontId="0" fillId="3" borderId="0" xfId="8" applyNumberFormat="1" applyFont="1" applyFill="1"/>
    <xf numFmtId="165" fontId="2" fillId="3" borderId="0" xfId="5" applyNumberFormat="1" applyFont="1" applyFill="1"/>
    <xf numFmtId="0" fontId="8" fillId="0" borderId="0" xfId="12" applyFont="1" applyAlignment="1">
      <alignment vertical="center"/>
    </xf>
    <xf numFmtId="0" fontId="3" fillId="0" borderId="0" xfId="10" applyFont="1" applyAlignment="1">
      <alignment horizontal="right"/>
    </xf>
    <xf numFmtId="0" fontId="3" fillId="0" borderId="0" xfId="10" applyFont="1" applyAlignment="1">
      <alignment horizontal="center"/>
    </xf>
    <xf numFmtId="172" fontId="3" fillId="0" borderId="0" xfId="9" applyNumberFormat="1" applyFont="1" applyAlignment="1">
      <alignment horizontal="right"/>
    </xf>
    <xf numFmtId="0" fontId="5" fillId="0" borderId="0" xfId="10" applyFont="1"/>
    <xf numFmtId="172" fontId="3" fillId="0" borderId="0" xfId="9" applyNumberFormat="1" applyFont="1" applyFill="1" applyAlignment="1">
      <alignment horizontal="right"/>
    </xf>
    <xf numFmtId="0" fontId="4" fillId="0" borderId="0" xfId="10" applyFont="1"/>
    <xf numFmtId="172" fontId="3" fillId="0" borderId="0" xfId="10" applyNumberFormat="1" applyFont="1" applyAlignment="1">
      <alignment horizontal="center" wrapText="1"/>
    </xf>
    <xf numFmtId="172" fontId="3" fillId="0" borderId="0" xfId="9" applyNumberFormat="1" applyFont="1" applyFill="1" applyAlignment="1">
      <alignment horizontal="center" wrapText="1"/>
    </xf>
    <xf numFmtId="9" fontId="3" fillId="0" borderId="0" xfId="9" applyFont="1" applyFill="1" applyAlignment="1">
      <alignment horizontal="center" wrapText="1"/>
    </xf>
    <xf numFmtId="0" fontId="3" fillId="0" borderId="0" xfId="10" applyFont="1" applyAlignment="1">
      <alignment horizontal="center" wrapText="1"/>
    </xf>
    <xf numFmtId="9" fontId="3" fillId="0" borderId="0" xfId="56" applyFont="1" applyFill="1" applyAlignment="1">
      <alignment horizontal="center"/>
    </xf>
    <xf numFmtId="0" fontId="3" fillId="0" borderId="0" xfId="10" applyFont="1" applyAlignment="1">
      <alignment horizontal="left"/>
    </xf>
    <xf numFmtId="165" fontId="3" fillId="0" borderId="0" xfId="7" applyNumberFormat="1" applyFont="1" applyFill="1" applyAlignment="1">
      <alignment wrapText="1"/>
    </xf>
    <xf numFmtId="172" fontId="3" fillId="0" borderId="3" xfId="9" applyNumberFormat="1" applyFont="1" applyBorder="1" applyAlignment="1">
      <alignment horizontal="center" wrapText="1"/>
    </xf>
    <xf numFmtId="165" fontId="3" fillId="0" borderId="0" xfId="10" applyNumberFormat="1" applyFont="1"/>
    <xf numFmtId="172" fontId="3" fillId="0" borderId="0" xfId="9" applyNumberFormat="1" applyFont="1" applyAlignment="1">
      <alignment horizontal="center" wrapText="1"/>
    </xf>
    <xf numFmtId="0" fontId="3" fillId="0" borderId="0" xfId="10" applyFont="1" applyAlignment="1">
      <alignment horizontal="center" vertical="center" wrapText="1"/>
    </xf>
    <xf numFmtId="9" fontId="3" fillId="0" borderId="0" xfId="9" applyFont="1" applyAlignment="1">
      <alignment horizontal="center" wrapText="1"/>
    </xf>
    <xf numFmtId="164" fontId="3" fillId="0" borderId="0" xfId="56" applyNumberFormat="1" applyFont="1"/>
    <xf numFmtId="172" fontId="0" fillId="0" borderId="0" xfId="9" applyNumberFormat="1" applyFont="1" applyAlignment="1">
      <alignment horizontal="center" wrapText="1"/>
    </xf>
    <xf numFmtId="10" fontId="3" fillId="0" borderId="0" xfId="56" applyNumberFormat="1" applyFont="1"/>
    <xf numFmtId="9" fontId="0" fillId="0" borderId="0" xfId="56" applyFont="1" applyAlignment="1">
      <alignment horizontal="right"/>
    </xf>
    <xf numFmtId="9" fontId="3" fillId="0" borderId="0" xfId="56" applyFont="1" applyAlignment="1">
      <alignment horizontal="right"/>
    </xf>
    <xf numFmtId="172" fontId="0" fillId="0" borderId="0" xfId="9" applyNumberFormat="1" applyFont="1" applyAlignment="1">
      <alignment horizontal="right"/>
    </xf>
    <xf numFmtId="172" fontId="5" fillId="0" borderId="0" xfId="10" applyNumberFormat="1" applyFont="1"/>
    <xf numFmtId="172" fontId="3" fillId="0" borderId="0" xfId="10" applyNumberFormat="1" applyFont="1"/>
    <xf numFmtId="172" fontId="3" fillId="0" borderId="0" xfId="12" applyNumberFormat="1"/>
    <xf numFmtId="172" fontId="3" fillId="0" borderId="0" xfId="12" applyNumberFormat="1" applyAlignment="1">
      <alignment horizontal="center" wrapText="1"/>
    </xf>
    <xf numFmtId="172" fontId="3" fillId="0" borderId="0" xfId="9" applyNumberFormat="1" applyFont="1" applyFill="1" applyAlignment="1">
      <alignment horizontal="center"/>
    </xf>
    <xf numFmtId="164" fontId="0" fillId="0" borderId="0" xfId="56" applyNumberFormat="1" applyFont="1"/>
    <xf numFmtId="164" fontId="3" fillId="0" borderId="0" xfId="56" applyNumberFormat="1" applyFont="1" applyFill="1"/>
    <xf numFmtId="172" fontId="0" fillId="0" borderId="0" xfId="9" applyNumberFormat="1" applyFont="1" applyAlignment="1">
      <alignment horizontal="center"/>
    </xf>
    <xf numFmtId="172" fontId="3" fillId="0" borderId="0" xfId="9" applyNumberFormat="1" applyFont="1" applyAlignment="1">
      <alignment horizontal="center"/>
    </xf>
    <xf numFmtId="165" fontId="3" fillId="0" borderId="0" xfId="7" applyNumberFormat="1" applyFont="1" applyFill="1" applyBorder="1" applyAlignment="1"/>
    <xf numFmtId="0" fontId="3" fillId="0" borderId="18" xfId="12" applyBorder="1" applyAlignment="1">
      <alignment horizontal="right" wrapText="1"/>
    </xf>
    <xf numFmtId="0" fontId="3" fillId="0" borderId="20" xfId="12" applyBorder="1" applyAlignment="1">
      <alignment horizontal="center" wrapText="1"/>
    </xf>
    <xf numFmtId="0" fontId="3" fillId="0" borderId="20" xfId="12" applyBorder="1" applyAlignment="1">
      <alignment wrapText="1"/>
    </xf>
    <xf numFmtId="165" fontId="3" fillId="0" borderId="20" xfId="7" applyNumberFormat="1" applyFont="1" applyFill="1" applyBorder="1" applyAlignment="1">
      <alignment wrapText="1"/>
    </xf>
    <xf numFmtId="165" fontId="3" fillId="0" borderId="19" xfId="7" applyNumberFormat="1" applyFont="1" applyBorder="1" applyAlignment="1">
      <alignment wrapText="1"/>
    </xf>
    <xf numFmtId="165" fontId="3" fillId="0" borderId="21" xfId="7" applyNumberFormat="1" applyFont="1" applyBorder="1" applyAlignment="1">
      <alignment wrapText="1"/>
    </xf>
    <xf numFmtId="44" fontId="0" fillId="0" borderId="0" xfId="11" applyFont="1" applyBorder="1"/>
    <xf numFmtId="44" fontId="0" fillId="0" borderId="22" xfId="11" applyFont="1" applyBorder="1"/>
    <xf numFmtId="44" fontId="3" fillId="0" borderId="0" xfId="11" applyFont="1" applyBorder="1"/>
    <xf numFmtId="44" fontId="3" fillId="0" borderId="0" xfId="11" applyFont="1" applyFill="1" applyBorder="1"/>
    <xf numFmtId="44" fontId="3" fillId="0" borderId="22" xfId="11" applyFont="1" applyBorder="1"/>
    <xf numFmtId="165" fontId="0" fillId="0" borderId="21" xfId="7" applyNumberFormat="1" applyFont="1" applyBorder="1"/>
    <xf numFmtId="0" fontId="3" fillId="0" borderId="21" xfId="12" applyBorder="1" applyAlignment="1">
      <alignment horizontal="right"/>
    </xf>
    <xf numFmtId="165" fontId="3" fillId="0" borderId="22" xfId="7" applyNumberFormat="1" applyFont="1" applyBorder="1"/>
    <xf numFmtId="165" fontId="3" fillId="0" borderId="21" xfId="7" applyNumberFormat="1" applyFont="1" applyBorder="1"/>
    <xf numFmtId="0" fontId="3" fillId="0" borderId="3" xfId="12" applyBorder="1" applyAlignment="1">
      <alignment horizontal="center"/>
    </xf>
    <xf numFmtId="44" fontId="0" fillId="0" borderId="3" xfId="11" applyFont="1" applyBorder="1"/>
    <xf numFmtId="44" fontId="3" fillId="0" borderId="3" xfId="11" applyFont="1" applyFill="1" applyBorder="1"/>
    <xf numFmtId="44" fontId="3" fillId="0" borderId="24" xfId="11" applyFont="1" applyBorder="1"/>
    <xf numFmtId="165" fontId="3" fillId="0" borderId="0" xfId="7" applyNumberFormat="1" applyFont="1" applyBorder="1"/>
    <xf numFmtId="44" fontId="3" fillId="0" borderId="3" xfId="11" applyFont="1" applyBorder="1"/>
    <xf numFmtId="165" fontId="3" fillId="0" borderId="25" xfId="7" applyNumberFormat="1" applyFont="1" applyBorder="1" applyAlignment="1">
      <alignment horizontal="center"/>
    </xf>
    <xf numFmtId="6" fontId="3" fillId="0" borderId="18" xfId="12" applyNumberFormat="1" applyBorder="1" applyAlignment="1">
      <alignment horizontal="right" wrapText="1"/>
    </xf>
    <xf numFmtId="165" fontId="3" fillId="0" borderId="20" xfId="7" applyNumberFormat="1" applyFont="1" applyBorder="1" applyAlignment="1">
      <alignment wrapText="1"/>
    </xf>
    <xf numFmtId="44" fontId="3" fillId="0" borderId="0" xfId="11" applyFont="1"/>
    <xf numFmtId="165" fontId="3" fillId="0" borderId="22" xfId="7" applyNumberFormat="1" applyFont="1" applyBorder="1" applyAlignment="1">
      <alignment wrapText="1"/>
    </xf>
    <xf numFmtId="10" fontId="3" fillId="0" borderId="0" xfId="12" applyNumberFormat="1"/>
    <xf numFmtId="44" fontId="0" fillId="0" borderId="0" xfId="11" applyFont="1"/>
    <xf numFmtId="165" fontId="0" fillId="0" borderId="22" xfId="7" applyNumberFormat="1" applyFont="1" applyBorder="1"/>
    <xf numFmtId="165" fontId="3" fillId="0" borderId="24" xfId="7" applyNumberFormat="1" applyFont="1" applyBorder="1"/>
    <xf numFmtId="165" fontId="3" fillId="0" borderId="0" xfId="7" applyNumberFormat="1" applyFont="1" applyBorder="1" applyAlignment="1">
      <alignment wrapText="1"/>
    </xf>
    <xf numFmtId="0" fontId="3" fillId="0" borderId="1" xfId="2" applyFont="1" applyBorder="1" applyAlignment="1">
      <alignment horizontal="center"/>
    </xf>
    <xf numFmtId="0" fontId="3" fillId="0" borderId="1" xfId="2" applyFont="1" applyBorder="1" applyAlignment="1">
      <alignment horizontal="center" wrapText="1"/>
    </xf>
    <xf numFmtId="0" fontId="3" fillId="0" borderId="2" xfId="0" applyFont="1" applyBorder="1"/>
    <xf numFmtId="0" fontId="3" fillId="0" borderId="0" xfId="2" applyFont="1" applyAlignment="1">
      <alignment horizontal="center"/>
    </xf>
    <xf numFmtId="0" fontId="3" fillId="0" borderId="21" xfId="12" applyBorder="1" applyAlignment="1">
      <alignment horizontal="center" vertical="center"/>
    </xf>
    <xf numFmtId="0" fontId="3" fillId="0" borderId="23" xfId="12" applyBorder="1" applyAlignment="1">
      <alignment horizontal="center" vertical="center"/>
    </xf>
    <xf numFmtId="0" fontId="3" fillId="0" borderId="0" xfId="4" applyFont="1" applyAlignment="1">
      <alignment horizontal="left" wrapText="1"/>
    </xf>
    <xf numFmtId="165" fontId="2" fillId="0" borderId="0" xfId="5" applyNumberFormat="1" applyFont="1" applyAlignment="1">
      <alignment horizontal="center"/>
    </xf>
    <xf numFmtId="165" fontId="3" fillId="0" borderId="0" xfId="4" applyNumberFormat="1" applyFont="1" applyAlignment="1">
      <alignment horizontal="center"/>
    </xf>
    <xf numFmtId="165" fontId="2" fillId="0" borderId="0" xfId="5" applyNumberFormat="1" applyFont="1" applyFill="1" applyAlignment="1">
      <alignment horizontal="center"/>
    </xf>
    <xf numFmtId="0" fontId="3" fillId="0" borderId="0" xfId="12" applyAlignment="1">
      <alignment horizontal="center"/>
    </xf>
    <xf numFmtId="165" fontId="3" fillId="0" borderId="18" xfId="7" applyNumberFormat="1" applyFont="1" applyFill="1" applyBorder="1" applyAlignment="1">
      <alignment horizontal="center"/>
    </xf>
    <xf numFmtId="165" fontId="3" fillId="0" borderId="19" xfId="7" applyNumberFormat="1" applyFont="1" applyFill="1" applyBorder="1" applyAlignment="1">
      <alignment horizontal="center"/>
    </xf>
    <xf numFmtId="0" fontId="3" fillId="0" borderId="21" xfId="12" applyBorder="1" applyAlignment="1">
      <alignment horizontal="center" vertical="center" wrapText="1"/>
    </xf>
    <xf numFmtId="165" fontId="3" fillId="0" borderId="4" xfId="7" applyNumberFormat="1" applyFont="1" applyFill="1" applyBorder="1" applyAlignment="1">
      <alignment horizontal="center"/>
    </xf>
    <xf numFmtId="165" fontId="3" fillId="0" borderId="6" xfId="7" applyNumberFormat="1" applyFont="1" applyFill="1" applyBorder="1" applyAlignment="1">
      <alignment horizontal="center"/>
    </xf>
    <xf numFmtId="165" fontId="3" fillId="0" borderId="18" xfId="7" applyNumberFormat="1" applyFont="1" applyBorder="1" applyAlignment="1">
      <alignment horizontal="center"/>
    </xf>
    <xf numFmtId="165" fontId="3" fillId="0" borderId="19" xfId="7" applyNumberFormat="1" applyFont="1" applyBorder="1" applyAlignment="1">
      <alignment horizontal="center"/>
    </xf>
  </cellXfs>
  <cellStyles count="298">
    <cellStyle name="20% - Accent1" xfId="29" builtinId="30" customBuiltin="1"/>
    <cellStyle name="20% - Accent1 2" xfId="118" xr:uid="{B2F82DA5-71B0-4FF4-BF85-68A4EA5B68F3}"/>
    <cellStyle name="20% - Accent1 2 2" xfId="232" xr:uid="{4F9DEEB4-11C1-4B6B-B431-6049B0F6D00D}"/>
    <cellStyle name="20% - Accent1 3" xfId="175" xr:uid="{48455B83-1DF7-4C5B-965E-436C5C24545C}"/>
    <cellStyle name="20% - Accent1 4" xfId="279" xr:uid="{28188328-30DE-4B55-8B53-F4F544629304}"/>
    <cellStyle name="20% - Accent2" xfId="33" builtinId="34" customBuiltin="1"/>
    <cellStyle name="20% - Accent2 2" xfId="121" xr:uid="{5E14224D-9DD3-4E04-9B50-47E926267DC4}"/>
    <cellStyle name="20% - Accent2 2 2" xfId="235" xr:uid="{0E79B3E6-52F3-48BF-9B51-6B7F1E91BEF8}"/>
    <cellStyle name="20% - Accent2 3" xfId="178" xr:uid="{4780EE75-602B-4EC7-926F-DA65A5C868A2}"/>
    <cellStyle name="20% - Accent2 4" xfId="282" xr:uid="{253318E7-3BEE-4912-91AE-FFAEB4806150}"/>
    <cellStyle name="20% - Accent3" xfId="37" builtinId="38" customBuiltin="1"/>
    <cellStyle name="20% - Accent3 2" xfId="124" xr:uid="{9EBA8B8F-28B4-4C3A-B92F-664808436B4C}"/>
    <cellStyle name="20% - Accent3 2 2" xfId="238" xr:uid="{783942CF-D5B6-45F3-A59E-D290F487A73F}"/>
    <cellStyle name="20% - Accent3 3" xfId="181" xr:uid="{EE572A45-78DE-4590-9741-95427CCF77D9}"/>
    <cellStyle name="20% - Accent3 4" xfId="285" xr:uid="{FCB43BAD-D3D7-488F-AB0C-14BB81FC2F25}"/>
    <cellStyle name="20% - Accent4" xfId="41" builtinId="42" customBuiltin="1"/>
    <cellStyle name="20% - Accent4 2" xfId="127" xr:uid="{E95E7230-AC4E-4644-91C2-D1E81BE16B45}"/>
    <cellStyle name="20% - Accent4 2 2" xfId="241" xr:uid="{CD68C862-B76A-4265-A52A-5F6F40516B39}"/>
    <cellStyle name="20% - Accent4 3" xfId="184" xr:uid="{593D9719-0F42-4EF3-80A2-DA91F71294AE}"/>
    <cellStyle name="20% - Accent4 4" xfId="288" xr:uid="{4BC3DCDC-E844-4B14-8732-1669B5821CB9}"/>
    <cellStyle name="20% - Accent5" xfId="45" builtinId="46" customBuiltin="1"/>
    <cellStyle name="20% - Accent5 2" xfId="130" xr:uid="{4C44DF48-B24A-471B-9509-7ECFF51F6B60}"/>
    <cellStyle name="20% - Accent5 2 2" xfId="244" xr:uid="{ABC5B0C9-DE42-44CE-8CA2-B5628BD5B370}"/>
    <cellStyle name="20% - Accent5 3" xfId="187" xr:uid="{01F8D196-D5E7-45BE-B71F-B99FD7529295}"/>
    <cellStyle name="20% - Accent5 4" xfId="291" xr:uid="{6BC72202-A765-47CA-9043-3A9463BBC192}"/>
    <cellStyle name="20% - Accent6" xfId="49" builtinId="50" customBuiltin="1"/>
    <cellStyle name="20% - Accent6 2" xfId="133" xr:uid="{9A73AF30-620E-4606-B4BD-C91CA7F8AC38}"/>
    <cellStyle name="20% - Accent6 2 2" xfId="247" xr:uid="{E257743B-62D0-4DD7-8E77-FFB85F27A6F7}"/>
    <cellStyle name="20% - Accent6 3" xfId="190" xr:uid="{0559AFE3-414E-4BB2-A274-5FA9E2764DE1}"/>
    <cellStyle name="20% - Accent6 4" xfId="294" xr:uid="{48A83C13-06D5-408F-991E-87FD9B134D6A}"/>
    <cellStyle name="40% - Accent1" xfId="30" builtinId="31" customBuiltin="1"/>
    <cellStyle name="40% - Accent1 2" xfId="119" xr:uid="{C5123053-4D1C-46D4-8BE5-3455140959D8}"/>
    <cellStyle name="40% - Accent1 2 2" xfId="233" xr:uid="{395E7C04-A77D-4986-9E11-F891241A358B}"/>
    <cellStyle name="40% - Accent1 3" xfId="176" xr:uid="{29F14A79-207A-4BF7-8D09-D5597A7113DE}"/>
    <cellStyle name="40% - Accent1 4" xfId="280" xr:uid="{092C42DE-2A4E-4BED-BE7F-6BC569EB43E1}"/>
    <cellStyle name="40% - Accent2" xfId="34" builtinId="35" customBuiltin="1"/>
    <cellStyle name="40% - Accent2 2" xfId="122" xr:uid="{CC3C9BDD-AE8D-4075-9C96-F9843FA3DB77}"/>
    <cellStyle name="40% - Accent2 2 2" xfId="236" xr:uid="{CDD18535-0A63-45BC-BBC9-AC7EDBC464FD}"/>
    <cellStyle name="40% - Accent2 3" xfId="179" xr:uid="{7CC7620C-0D1D-4716-A04D-2D02A30D762E}"/>
    <cellStyle name="40% - Accent2 4" xfId="283" xr:uid="{C332CF33-CDE8-4473-BCE1-3C3EC62A5037}"/>
    <cellStyle name="40% - Accent3" xfId="38" builtinId="39" customBuiltin="1"/>
    <cellStyle name="40% - Accent3 2" xfId="125" xr:uid="{1899D771-A963-48E4-A3D9-662E4D3BC094}"/>
    <cellStyle name="40% - Accent3 2 2" xfId="239" xr:uid="{CA3A8F3F-01B4-46A9-A35A-291CD6C5ACCE}"/>
    <cellStyle name="40% - Accent3 3" xfId="182" xr:uid="{404235C6-6DA6-442E-BC15-C75E46B409D3}"/>
    <cellStyle name="40% - Accent3 4" xfId="286" xr:uid="{3FF03BE9-4B74-4509-B905-127B3640D54B}"/>
    <cellStyle name="40% - Accent4" xfId="42" builtinId="43" customBuiltin="1"/>
    <cellStyle name="40% - Accent4 2" xfId="128" xr:uid="{2F345A4F-904B-4252-9E3A-C5FF2D1E3B31}"/>
    <cellStyle name="40% - Accent4 2 2" xfId="242" xr:uid="{3867D175-E89D-4D6B-B441-6C73348F82D2}"/>
    <cellStyle name="40% - Accent4 3" xfId="185" xr:uid="{671EA207-5CF9-4B38-ABDF-C6026E26CD3C}"/>
    <cellStyle name="40% - Accent4 4" xfId="289" xr:uid="{490833A1-B91D-47A7-A14E-CB0BE2618237}"/>
    <cellStyle name="40% - Accent5" xfId="46" builtinId="47" customBuiltin="1"/>
    <cellStyle name="40% - Accent5 2" xfId="131" xr:uid="{D8AC889D-62E5-4B2F-AB82-5E0C8E55A87A}"/>
    <cellStyle name="40% - Accent5 2 2" xfId="245" xr:uid="{A1273EAC-F34F-497F-8C73-B51550B0028B}"/>
    <cellStyle name="40% - Accent5 3" xfId="188" xr:uid="{342F5308-DAF7-49E7-8B9A-C72AC5ABAEA2}"/>
    <cellStyle name="40% - Accent5 4" xfId="292" xr:uid="{85D01506-5DB4-44AD-873A-54805DB04192}"/>
    <cellStyle name="40% - Accent6" xfId="50" builtinId="51" customBuiltin="1"/>
    <cellStyle name="40% - Accent6 2" xfId="134" xr:uid="{871BF112-0182-49C8-9BF0-AD1CCFBDE6DD}"/>
    <cellStyle name="40% - Accent6 2 2" xfId="248" xr:uid="{0628E854-0103-4501-B965-C58C80E0C250}"/>
    <cellStyle name="40% - Accent6 3" xfId="191" xr:uid="{24C983A9-76DA-4170-B30A-78969DDAB891}"/>
    <cellStyle name="40% - Accent6 4" xfId="295" xr:uid="{70B1F5D9-2876-494C-A983-F525F7834888}"/>
    <cellStyle name="60% - Accent1" xfId="31" builtinId="32" customBuiltin="1"/>
    <cellStyle name="60% - Accent1 2" xfId="120" xr:uid="{3DD001F7-BEF1-4237-A7AC-FB9F8BD998C8}"/>
    <cellStyle name="60% - Accent1 2 2" xfId="234" xr:uid="{2E66D274-AA11-43D0-A682-DDE5F6FCA3A4}"/>
    <cellStyle name="60% - Accent1 3" xfId="177" xr:uid="{D78EC82C-150E-41FC-92CB-BF15A9CF3886}"/>
    <cellStyle name="60% - Accent1 4" xfId="281" xr:uid="{6C4137C3-22C6-4F09-97DD-98F019AE6AF1}"/>
    <cellStyle name="60% - Accent2" xfId="35" builtinId="36" customBuiltin="1"/>
    <cellStyle name="60% - Accent2 2" xfId="123" xr:uid="{42D7CB2A-1BCD-4677-9A0F-88E973D025F0}"/>
    <cellStyle name="60% - Accent2 2 2" xfId="237" xr:uid="{E926A559-CF15-4F2D-8B46-59FD1907DCB5}"/>
    <cellStyle name="60% - Accent2 3" xfId="180" xr:uid="{741A6A29-1FBA-49B7-AD4F-81CE2075B407}"/>
    <cellStyle name="60% - Accent2 4" xfId="284" xr:uid="{AAD7B881-8CF9-4A2E-9FE0-8AF401DE4D52}"/>
    <cellStyle name="60% - Accent3" xfId="39" builtinId="40" customBuiltin="1"/>
    <cellStyle name="60% - Accent3 2" xfId="126" xr:uid="{65AB3A66-CC83-4510-8B20-7DB9005AA1C3}"/>
    <cellStyle name="60% - Accent3 2 2" xfId="240" xr:uid="{276CB416-1371-4A29-9D4F-C8C76AE7F8C3}"/>
    <cellStyle name="60% - Accent3 3" xfId="183" xr:uid="{AD0F0CD9-6EE8-483E-8CAC-56A66FBCB60B}"/>
    <cellStyle name="60% - Accent3 4" xfId="287" xr:uid="{C7E2838E-3D2F-482A-AAF6-FC585DF81BD5}"/>
    <cellStyle name="60% - Accent4" xfId="43" builtinId="44" customBuiltin="1"/>
    <cellStyle name="60% - Accent4 2" xfId="129" xr:uid="{52F2569F-8DB1-4907-B891-8075709CB415}"/>
    <cellStyle name="60% - Accent4 2 2" xfId="243" xr:uid="{F3E6A835-A018-4D60-A9F1-841EF828FF6A}"/>
    <cellStyle name="60% - Accent4 3" xfId="186" xr:uid="{E4E6D788-D3C5-4234-ABF2-0B394D942016}"/>
    <cellStyle name="60% - Accent4 4" xfId="290" xr:uid="{E78BA46A-20F1-4520-91B5-D6CD96DEF957}"/>
    <cellStyle name="60% - Accent5" xfId="47" builtinId="48" customBuiltin="1"/>
    <cellStyle name="60% - Accent5 2" xfId="132" xr:uid="{3CEAE0EF-940A-470C-A746-334B0D4F060E}"/>
    <cellStyle name="60% - Accent5 2 2" xfId="246" xr:uid="{473E2DA6-9DAF-408F-9596-89C536CD01A9}"/>
    <cellStyle name="60% - Accent5 3" xfId="189" xr:uid="{09855A94-CA73-4351-A0DD-BF1142AD7E95}"/>
    <cellStyle name="60% - Accent5 4" xfId="293" xr:uid="{50F32236-473A-4AC6-9099-DA7D040BFA0D}"/>
    <cellStyle name="60% - Accent6" xfId="51" builtinId="52" customBuiltin="1"/>
    <cellStyle name="60% - Accent6 2" xfId="135" xr:uid="{D6387A66-C456-44BD-A50A-3A87FA5B6764}"/>
    <cellStyle name="60% - Accent6 2 2" xfId="249" xr:uid="{30AB11AE-A4BE-467A-AFCF-5479301FBC1D}"/>
    <cellStyle name="60% - Accent6 3" xfId="192" xr:uid="{7F5882C1-9BA9-4358-8037-17CB8B01D3D8}"/>
    <cellStyle name="60% - Accent6 4" xfId="296" xr:uid="{CCA8F22F-66A0-4020-8E96-EF88803412A3}"/>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9" builtinId="27" customBuiltin="1"/>
    <cellStyle name="Body: normal cell" xfId="297" xr:uid="{2C789E0F-820D-4D62-A2F9-00030B0E548F}"/>
    <cellStyle name="Calculation" xfId="22" builtinId="22" customBuiltin="1"/>
    <cellStyle name="Check Cell" xfId="24" builtinId="23" customBuiltin="1"/>
    <cellStyle name="Comma 2" xfId="7" xr:uid="{CA7C3CA6-6E14-4AF1-ADC2-E84B411464D2}"/>
    <cellStyle name="Comma 2 2" xfId="8" xr:uid="{39ED702F-3C0D-4BA7-BE63-7DF483EF549A}"/>
    <cellStyle name="Comma 2 2 21" xfId="71" xr:uid="{46AB74F9-4B16-4C41-A4D4-D83373F19DF3}"/>
    <cellStyle name="Comma 3" xfId="5" xr:uid="{10E28087-4FFB-44F5-A9E0-2EEF1987AF3B}"/>
    <cellStyle name="Comma 4" xfId="80" xr:uid="{3505D731-92A4-4A3D-8FE6-F6D76DCA1A19}"/>
    <cellStyle name="Comma 4 17 2" xfId="63" xr:uid="{447B8A4B-A0DF-4098-8134-6A50B57B3745}"/>
    <cellStyle name="Comma 4 17 2 2" xfId="87" xr:uid="{F1F5A898-9AA4-4805-8C7D-5C589688D160}"/>
    <cellStyle name="Comma 4 17 2 2 2" xfId="144" xr:uid="{80F6AE94-C1AA-4473-B4D3-BA356A3F61E2}"/>
    <cellStyle name="Comma 4 17 2 2 2 2" xfId="258" xr:uid="{373B34AB-9196-4274-B72B-A2AA8FA9E825}"/>
    <cellStyle name="Comma 4 17 2 2 3" xfId="201" xr:uid="{39D7E51A-65BB-43EA-A959-F2E6D4C0EE91}"/>
    <cellStyle name="Comma 4 17 2 3" xfId="99" xr:uid="{93F414CF-0B10-4172-81E1-4CB3AFB50768}"/>
    <cellStyle name="Comma 4 17 2 3 2" xfId="156" xr:uid="{13871AA5-7482-4F29-91F1-CB33D4657495}"/>
    <cellStyle name="Comma 4 17 2 3 2 2" xfId="270" xr:uid="{4FDED537-C0DA-4921-A902-C01EF2B0686B}"/>
    <cellStyle name="Comma 4 17 2 3 3" xfId="213" xr:uid="{44314F4F-A5AD-46F3-B8AC-2F10E044BBCB}"/>
    <cellStyle name="Comma 4 17 2 4" xfId="111" xr:uid="{2AACFF37-C24E-415D-AB01-8C02DFA7228E}"/>
    <cellStyle name="Comma 4 17 2 4 2" xfId="225" xr:uid="{4F4CF614-BA54-495A-9243-6C1A3A7E6E76}"/>
    <cellStyle name="Comma 4 17 2 5" xfId="168" xr:uid="{FEAD465E-1469-45CE-AF29-65F1ACE7EE1E}"/>
    <cellStyle name="Currency 2" xfId="11" xr:uid="{3BE02282-A70D-4ABC-9599-4413B6C342EC}"/>
    <cellStyle name="Currency 3" xfId="79" xr:uid="{81AAEAC2-4633-4E55-9AA0-66426225AFCF}"/>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78" xr:uid="{55EB1C5C-95B1-4921-AB8D-8963044931C4}"/>
    <cellStyle name="Neutral 3" xfId="74" xr:uid="{5510ADFB-5539-4663-AD20-52C828BC9820}"/>
    <cellStyle name="Neutral 4" xfId="52" xr:uid="{E1483593-3DC8-4BF2-89D7-5F0322347E11}"/>
    <cellStyle name="Normal" xfId="0" builtinId="0"/>
    <cellStyle name="Normal 10 10" xfId="57" xr:uid="{5BEB45AC-2FA2-4905-9A1B-A66C62E549E6}"/>
    <cellStyle name="Normal 10 10 3 2" xfId="65" xr:uid="{9798EC47-0A43-49A1-8F05-871DA0D32DB8}"/>
    <cellStyle name="Normal 10 21 3" xfId="12" xr:uid="{4B5D8B3C-1220-400E-AE38-36329503CCF4}"/>
    <cellStyle name="Normal 12 50" xfId="59" xr:uid="{8173B926-33AA-4642-AA0F-1416D0E9D2B6}"/>
    <cellStyle name="Normal 12 50 2" xfId="86" xr:uid="{730B09EF-D2FD-4E0B-AE0B-C1B1977B716E}"/>
    <cellStyle name="Normal 12 50 2 2" xfId="143" xr:uid="{09425C4B-5B2C-4155-8CCC-1B2BE20B9085}"/>
    <cellStyle name="Normal 12 50 2 2 2" xfId="257" xr:uid="{73B9391F-DFD1-49F1-953F-D7C96ECAB7B1}"/>
    <cellStyle name="Normal 12 50 2 3" xfId="200" xr:uid="{A1A944EF-E472-4E14-B1B5-678F95BFB5F2}"/>
    <cellStyle name="Normal 12 50 3" xfId="98" xr:uid="{671FFE95-70B9-49AF-8673-2ECBF81467D5}"/>
    <cellStyle name="Normal 12 50 3 2" xfId="155" xr:uid="{44F6679B-A764-4EB4-BBED-C93196880434}"/>
    <cellStyle name="Normal 12 50 3 2 2" xfId="269" xr:uid="{762D7DED-5F26-4E71-90E2-795ABD34980C}"/>
    <cellStyle name="Normal 12 50 3 3" xfId="212" xr:uid="{E295C562-B4A6-4B35-A875-C5913A7106C5}"/>
    <cellStyle name="Normal 12 50 4" xfId="110" xr:uid="{F9958D89-A5AA-484D-816F-4B0C1C75FE24}"/>
    <cellStyle name="Normal 12 50 4 2" xfId="224" xr:uid="{03583CF9-CBE8-4F4B-BBD9-B56AF726272A}"/>
    <cellStyle name="Normal 12 50 5" xfId="167" xr:uid="{55C4614A-912B-4160-978E-057564E43BD5}"/>
    <cellStyle name="Normal 195" xfId="2" xr:uid="{DB346E1F-E0D0-4E1E-94EF-BCC4577A9928}"/>
    <cellStyle name="Normal 195 2" xfId="61" xr:uid="{F22A3178-9256-49AC-9FC2-F292843F8BDA}"/>
    <cellStyle name="Normal 2" xfId="4" xr:uid="{48E49BF4-98B0-4CAF-B16E-5CDA977C4CA2}"/>
    <cellStyle name="Normal 2 2" xfId="54" xr:uid="{B8F530AC-CBF6-491B-9044-CF0B06636C33}"/>
    <cellStyle name="Normal 2 2 2" xfId="83" xr:uid="{B8E4AA33-8928-4BFB-B217-5466C22F4863}"/>
    <cellStyle name="Normal 2 2 2 2" xfId="140" xr:uid="{7041B79D-A149-4444-9E91-C48B144861B5}"/>
    <cellStyle name="Normal 2 2 2 2 2" xfId="254" xr:uid="{983A85FE-40D2-4589-99A2-50E60B7CD449}"/>
    <cellStyle name="Normal 2 2 2 3" xfId="197" xr:uid="{FE04BD50-7A71-4125-9415-29DFDD053F9B}"/>
    <cellStyle name="Normal 2 2 3" xfId="95" xr:uid="{7E9712DF-FD14-4EE9-B0D1-07BA4C65F18E}"/>
    <cellStyle name="Normal 2 2 3 2" xfId="152" xr:uid="{8AFA2F9A-2E00-4645-843E-E7CE5F4AFC0F}"/>
    <cellStyle name="Normal 2 2 3 2 2" xfId="266" xr:uid="{D054A2C7-21B6-4283-BF1C-07B0B3792F1C}"/>
    <cellStyle name="Normal 2 2 3 3" xfId="209" xr:uid="{BC1957F7-0A8A-476E-AFF6-ED4C0A05932D}"/>
    <cellStyle name="Normal 2 2 4" xfId="107" xr:uid="{DEFB47E6-C4A3-40CA-93B5-C7BCC502E63B}"/>
    <cellStyle name="Normal 2 2 4 2" xfId="221" xr:uid="{71AEF181-C2AB-4BDE-AAF3-802119A261E3}"/>
    <cellStyle name="Normal 2 2 5" xfId="164" xr:uid="{095F8263-1B5B-482E-BF23-AE106881AEA1}"/>
    <cellStyle name="Normal 2 3" xfId="55" xr:uid="{166299F3-20F7-4ACE-B813-A43886021D22}"/>
    <cellStyle name="Normal 2 3 2" xfId="84" xr:uid="{1C36F7E4-34A4-49FA-8A61-17501D07E67D}"/>
    <cellStyle name="Normal 2 3 2 2" xfId="141" xr:uid="{578FAB58-0733-4C82-9E04-31F33F2318D6}"/>
    <cellStyle name="Normal 2 3 2 2 2" xfId="255" xr:uid="{A89527F5-9A07-4009-8C15-C9F6E6C333F0}"/>
    <cellStyle name="Normal 2 3 2 3" xfId="198" xr:uid="{E610278B-E20C-4FCE-8617-899B96F8065F}"/>
    <cellStyle name="Normal 2 3 3" xfId="96" xr:uid="{A3E70AC4-42E3-46FF-BF3F-C72F9D36FA89}"/>
    <cellStyle name="Normal 2 3 3 2" xfId="153" xr:uid="{06B93F3B-70DC-4EE4-AC3B-9FB74B6913DC}"/>
    <cellStyle name="Normal 2 3 3 2 2" xfId="267" xr:uid="{B65B9022-D887-45F2-8BEB-31816260964C}"/>
    <cellStyle name="Normal 2 3 3 3" xfId="210" xr:uid="{E9C9F505-D2A0-4291-9916-5BEAD4B75F4A}"/>
    <cellStyle name="Normal 2 3 4" xfId="108" xr:uid="{9E606DBA-6EE7-493A-8098-5EAD43F43D60}"/>
    <cellStyle name="Normal 2 3 4 2" xfId="222" xr:uid="{2805C877-AB3A-41FA-AA99-CA5C4C4BE039}"/>
    <cellStyle name="Normal 2 3 5" xfId="165" xr:uid="{25AB3317-3F75-4315-9144-AE0C36D08498}"/>
    <cellStyle name="Normal 2 4" xfId="82" xr:uid="{5BAD1A06-B431-43F7-9E5A-25325AB9600F}"/>
    <cellStyle name="Normal 2 4 2" xfId="139" xr:uid="{41A56B5C-5414-4AE0-A7FE-006FD4C54A91}"/>
    <cellStyle name="Normal 2 4 2 2" xfId="253" xr:uid="{1ED86919-474B-4C93-B7EE-03DCF7BB71D0}"/>
    <cellStyle name="Normal 2 4 3" xfId="196" xr:uid="{1DC60CCA-91BC-487F-8C8A-E84D720B2BD7}"/>
    <cellStyle name="Normal 2 5" xfId="94" xr:uid="{F51E0451-8C49-4B15-8B9E-7D3906996D9F}"/>
    <cellStyle name="Normal 2 5 2" xfId="151" xr:uid="{7826A481-FEB9-4F03-88EC-3ECB9DC0A929}"/>
    <cellStyle name="Normal 2 5 2 2" xfId="265" xr:uid="{8E0C37E1-E8E6-488A-9895-E6552D278092}"/>
    <cellStyle name="Normal 2 5 3" xfId="208" xr:uid="{BB74F99A-7B12-4F9A-9FB2-5B37C423C86E}"/>
    <cellStyle name="Normal 2 6" xfId="106" xr:uid="{6EAF28DE-C9E1-4006-996D-5E8A3C4F3451}"/>
    <cellStyle name="Normal 2 6 2" xfId="220" xr:uid="{40485E92-4F41-41BF-9BDE-CF28B71602EB}"/>
    <cellStyle name="Normal 2 7" xfId="163" xr:uid="{72839D11-E4D2-472E-9DBF-97B53866E03A}"/>
    <cellStyle name="Normal 3" xfId="6" xr:uid="{DEC5941F-5235-4B45-8B56-F8AEFE7F058A}"/>
    <cellStyle name="Normal 3 2 2" xfId="10" xr:uid="{33A9716C-EDA3-4449-B6B0-C6285261CA33}"/>
    <cellStyle name="Normal 4" xfId="53" xr:uid="{BBD634AA-F284-4954-9254-49709AD11C5E}"/>
    <cellStyle name="Normal 4 2" xfId="81" xr:uid="{41399900-97CB-40AE-8D31-6D6F3491353F}"/>
    <cellStyle name="Normal 4 4 7" xfId="60" xr:uid="{5E9930EE-A5F7-436B-A8E4-F5D71E2A5354}"/>
    <cellStyle name="Normal 5" xfId="58" xr:uid="{8FA46585-65B2-4625-92B1-9CE81C2DC297}"/>
    <cellStyle name="Normal 5 2" xfId="85" xr:uid="{15A6B2A3-816B-4787-B36C-088E29EA2901}"/>
    <cellStyle name="Normal 5 2 2" xfId="142" xr:uid="{DB69073F-ADF3-4E7F-9AE5-B86B8C531DB8}"/>
    <cellStyle name="Normal 5 2 2 2" xfId="256" xr:uid="{5D8B52C5-B0C3-4B9C-9812-ED3B31AC81A9}"/>
    <cellStyle name="Normal 5 2 3" xfId="199" xr:uid="{DDD98709-9D98-424A-A116-C634C8B27219}"/>
    <cellStyle name="Normal 5 3" xfId="97" xr:uid="{312713B4-8CBA-423C-9709-A14AC8565387}"/>
    <cellStyle name="Normal 5 3 2" xfId="154" xr:uid="{EB99D057-38A4-423F-B79B-C10BED6056E6}"/>
    <cellStyle name="Normal 5 3 2 2" xfId="268" xr:uid="{6BEDA45C-CA3B-40D4-9E93-708440041F49}"/>
    <cellStyle name="Normal 5 3 3" xfId="211" xr:uid="{35304C6B-6D5B-4209-9E8D-CDC6755B8A67}"/>
    <cellStyle name="Normal 5 4" xfId="109" xr:uid="{AB755982-AEC8-4E28-81D0-701E49D2A28E}"/>
    <cellStyle name="Normal 5 4 2" xfId="223" xr:uid="{78C0EF98-1805-4AEF-9FFF-CA00C426CF1C}"/>
    <cellStyle name="Normal 5 5" xfId="166" xr:uid="{FFB04F47-48AB-4E56-85D1-E6E56949BDD0}"/>
    <cellStyle name="Normal 6" xfId="3" xr:uid="{C759E12F-C2AA-4A2B-8538-3E88F7473928}"/>
    <cellStyle name="Normal 6 2" xfId="92" xr:uid="{6BC261BD-ACA1-48AD-A431-4BAAA843BD86}"/>
    <cellStyle name="Normal 6 2 2" xfId="149" xr:uid="{F1630866-A60D-4248-BFC1-0A4E731CB046}"/>
    <cellStyle name="Normal 6 2 2 2" xfId="263" xr:uid="{AC325C2E-9019-4EC7-BCB4-0372A9FE567C}"/>
    <cellStyle name="Normal 6 2 3" xfId="206" xr:uid="{04868C9F-6015-43B6-8427-CAE7829491E4}"/>
    <cellStyle name="Normal 6 3" xfId="104" xr:uid="{1022D2CF-93C5-481A-8E74-B3AA28052C22}"/>
    <cellStyle name="Normal 6 3 2" xfId="161" xr:uid="{466AFF63-5124-4D3B-A401-7C1BF76518A9}"/>
    <cellStyle name="Normal 6 3 2 2" xfId="275" xr:uid="{2A8B76BE-1D63-492A-8B4B-3F8F6FC0D856}"/>
    <cellStyle name="Normal 6 3 3" xfId="218" xr:uid="{B13EC7FB-CF51-4ABB-9A01-9587BC4EED52}"/>
    <cellStyle name="Normal 6 4" xfId="116" xr:uid="{7F28C7A7-5615-4822-B835-4BE0CA0C891E}"/>
    <cellStyle name="Normal 6 4 2" xfId="230" xr:uid="{2888304B-61D1-4DD7-B06B-936088423922}"/>
    <cellStyle name="Normal 6 5" xfId="173" xr:uid="{9D552A5B-619C-424B-809A-0540B47C7B5A}"/>
    <cellStyle name="Normal 6 6" xfId="69" xr:uid="{8D6E9774-CEBC-41BF-8DB2-C18C77464A53}"/>
    <cellStyle name="Normal 7" xfId="76" xr:uid="{D7400C48-1EC0-4D95-B62E-A1AF90684D57}"/>
    <cellStyle name="Normal 8" xfId="72" xr:uid="{297B1236-CC18-43E5-ABF7-7A12B055E5A6}"/>
    <cellStyle name="Normal 8 2" xfId="136" xr:uid="{8DAF2C49-A31F-47B8-91AB-0C8D899F11E4}"/>
    <cellStyle name="Normal 8 2 2" xfId="250" xr:uid="{000DA040-BD2D-498F-AE7F-7096D911E072}"/>
    <cellStyle name="Normal 8 3" xfId="193" xr:uid="{FDC60FEF-9E0F-4F43-A70E-A7C0BEFD7C33}"/>
    <cellStyle name="Normal 9" xfId="277" xr:uid="{9EB917B5-6CC3-4FED-85C6-CB8034AAF534}"/>
    <cellStyle name="Note 2" xfId="75" xr:uid="{96BE9C71-1074-4161-A23B-FA2878877EAD}"/>
    <cellStyle name="Note 2 2" xfId="138" xr:uid="{0CDBD0EF-6E7B-4F6E-933A-701E6E1C9053}"/>
    <cellStyle name="Note 2 2 2" xfId="252" xr:uid="{7EFECF60-BFB9-4DBD-9C72-7AC252851601}"/>
    <cellStyle name="Note 2 3" xfId="195" xr:uid="{CDFF612D-79ED-4A4E-B342-41F7000DEECC}"/>
    <cellStyle name="Note 3" xfId="278" xr:uid="{33566078-2063-413B-A637-4A2B41D0BC84}"/>
    <cellStyle name="Output" xfId="21" builtinId="21" customBuiltin="1"/>
    <cellStyle name="Percent" xfId="1" builtinId="5"/>
    <cellStyle name="Percent 10" xfId="56" xr:uid="{2869E537-BE9A-4F45-A510-0C16B83AAE13}"/>
    <cellStyle name="Percent 2" xfId="9" xr:uid="{E1F07314-45A7-4CFA-8BE1-9D599A0200D0}"/>
    <cellStyle name="Percent 2 155 2" xfId="70" xr:uid="{7306DAC7-B5D3-4BB5-9529-D4DE900C3FCE}"/>
    <cellStyle name="Percent 2 155 2 2" xfId="93" xr:uid="{E7D39DF5-701F-44A1-86B8-BE970B079ED1}"/>
    <cellStyle name="Percent 2 155 2 2 2" xfId="150" xr:uid="{0B8C4C72-93F0-41A0-88E5-EB26DD97208D}"/>
    <cellStyle name="Percent 2 155 2 2 2 2" xfId="264" xr:uid="{7AEE70E8-670C-4B56-A2C3-D14EAB1711DC}"/>
    <cellStyle name="Percent 2 155 2 2 3" xfId="207" xr:uid="{7B847127-70F0-4B16-A47E-282656947EA6}"/>
    <cellStyle name="Percent 2 155 2 3" xfId="105" xr:uid="{DA9AE04D-6FC7-4398-B4B8-FD73B46C599B}"/>
    <cellStyle name="Percent 2 155 2 3 2" xfId="162" xr:uid="{5A4392FA-C88F-4043-9697-ED16CED60831}"/>
    <cellStyle name="Percent 2 155 2 3 2 2" xfId="276" xr:uid="{2A6294A7-1F32-4E8B-B228-749A930765B5}"/>
    <cellStyle name="Percent 2 155 2 3 3" xfId="219" xr:uid="{002826AA-FF56-40D5-8838-A779FCD594EE}"/>
    <cellStyle name="Percent 2 155 2 4" xfId="117" xr:uid="{D4F5CE11-8FAE-4693-BC54-6433FBB78204}"/>
    <cellStyle name="Percent 2 155 2 4 2" xfId="231" xr:uid="{B5E8D4FF-AAB8-48F4-B687-A09F3B599435}"/>
    <cellStyle name="Percent 2 155 2 5" xfId="174" xr:uid="{B5CD209D-0DD9-4D95-BD40-977BA5CAF269}"/>
    <cellStyle name="Percent 2 16" xfId="62" xr:uid="{4F21EF0C-7623-4CCF-A221-84E9D587DE7E}"/>
    <cellStyle name="Percent 3" xfId="77" xr:uid="{7D2DBA17-659F-44B8-BC5D-81A9A9E8F9F4}"/>
    <cellStyle name="Percent 4" xfId="73" xr:uid="{8C54391D-99DC-41BB-89F6-1812249DCAD8}"/>
    <cellStyle name="Percent 4 2" xfId="137" xr:uid="{5EB0E6A7-E9B1-4132-95C7-E070EB098AC1}"/>
    <cellStyle name="Percent 4 2 2" xfId="251" xr:uid="{6FD9AE76-AB5A-4641-998D-2A2545151679}"/>
    <cellStyle name="Percent 4 3" xfId="194" xr:uid="{C0F73996-2C08-493C-8C70-CCE495F47F5F}"/>
    <cellStyle name="Percent 6 4 2" xfId="64" xr:uid="{35589F0A-A44E-4B80-A160-283F6DBD89AF}"/>
    <cellStyle name="Percent 6 4 2 2" xfId="88" xr:uid="{AA3A6015-71C5-4348-93C6-7929C3DDA2AA}"/>
    <cellStyle name="Percent 6 4 2 2 2" xfId="145" xr:uid="{504966CF-F8CB-48F5-9C76-6FB3D2ABAED8}"/>
    <cellStyle name="Percent 6 4 2 2 2 2" xfId="259" xr:uid="{76A542E5-E32A-4FBD-ACFE-0AAC5C480F11}"/>
    <cellStyle name="Percent 6 4 2 2 3" xfId="202" xr:uid="{EADDF8A3-545E-4F2A-ABA0-A99D73206035}"/>
    <cellStyle name="Percent 6 4 2 3" xfId="100" xr:uid="{D04CC8BB-4DC3-48F0-AD35-A1B33C54223F}"/>
    <cellStyle name="Percent 6 4 2 3 2" xfId="157" xr:uid="{18B60711-DA0B-4CD2-A6C8-92F65C1C0820}"/>
    <cellStyle name="Percent 6 4 2 3 2 2" xfId="271" xr:uid="{98C6D675-1085-4D46-83BD-1643A047B1D9}"/>
    <cellStyle name="Percent 6 4 2 3 3" xfId="214" xr:uid="{6C2AA57C-8FC9-4B82-9DD7-D36432BFED30}"/>
    <cellStyle name="Percent 6 4 2 4" xfId="112" xr:uid="{FE491518-8021-401E-B96C-681B19FDACC7}"/>
    <cellStyle name="Percent 6 4 2 4 2" xfId="226" xr:uid="{B6EF603E-F1A3-4F47-899E-180C2958DFF9}"/>
    <cellStyle name="Percent 6 4 2 5" xfId="169" xr:uid="{D465A150-61E3-49E0-BE33-EF9D5676E625}"/>
    <cellStyle name="Percent 79 2" xfId="67" xr:uid="{7F9A17DC-C890-407D-A340-D02C2EDBEBD5}"/>
    <cellStyle name="Percent 79 2 2" xfId="90" xr:uid="{0AA2D5E0-96C2-4051-884F-2FD55401FC79}"/>
    <cellStyle name="Percent 79 2 2 2" xfId="147" xr:uid="{BA67AA88-2C01-4040-990A-69B406AFF3A5}"/>
    <cellStyle name="Percent 79 2 2 2 2" xfId="261" xr:uid="{FB1BDA3A-25E1-4447-B27D-F565645CC958}"/>
    <cellStyle name="Percent 79 2 2 3" xfId="204" xr:uid="{EA4991DC-BEB6-455C-8DD4-9D6ECA1CF8F8}"/>
    <cellStyle name="Percent 79 2 3" xfId="102" xr:uid="{C75437D9-BB1D-457B-8AC5-D34A5D82A887}"/>
    <cellStyle name="Percent 79 2 3 2" xfId="159" xr:uid="{51106D9B-D1BA-4EA5-BDF9-E2DF3A13D1F7}"/>
    <cellStyle name="Percent 79 2 3 2 2" xfId="273" xr:uid="{10F73385-C60E-4BF7-BC7F-FD97557C5E3A}"/>
    <cellStyle name="Percent 79 2 3 3" xfId="216" xr:uid="{6D8C2E06-3D09-4DF9-AD9F-39A990ED9707}"/>
    <cellStyle name="Percent 79 2 4" xfId="114" xr:uid="{CA3426AA-BAD2-4052-8230-0D210B5BADD3}"/>
    <cellStyle name="Percent 79 2 4 2" xfId="228" xr:uid="{4B5C714E-D4AF-4292-9DCC-D09D672EE1CC}"/>
    <cellStyle name="Percent 79 2 5" xfId="171" xr:uid="{E578DD3A-ABCD-4AF6-B084-C23ACE578481}"/>
    <cellStyle name="Percent 80 2" xfId="68" xr:uid="{15EF9E5C-2CE2-4E1C-8EC9-EFC0854A025F}"/>
    <cellStyle name="Percent 80 2 2" xfId="91" xr:uid="{92051125-7232-4260-895E-13B0B319DE22}"/>
    <cellStyle name="Percent 80 2 2 2" xfId="148" xr:uid="{8364468D-7CC9-4D1C-9AB7-F18EAEAAA3A0}"/>
    <cellStyle name="Percent 80 2 2 2 2" xfId="262" xr:uid="{74296A7C-BEC1-4353-BB3B-A48BE4108B41}"/>
    <cellStyle name="Percent 80 2 2 3" xfId="205" xr:uid="{8925A3E6-CAEB-46C5-8812-E2CF702AB356}"/>
    <cellStyle name="Percent 80 2 3" xfId="103" xr:uid="{23A8296E-1FC0-49A2-A80F-07A255E2C36A}"/>
    <cellStyle name="Percent 80 2 3 2" xfId="160" xr:uid="{6F0FB3FE-21D8-4070-8D0E-38E548A12261}"/>
    <cellStyle name="Percent 80 2 3 2 2" xfId="274" xr:uid="{9D5928E7-637E-4D1C-A278-4959C3E9A469}"/>
    <cellStyle name="Percent 80 2 3 3" xfId="217" xr:uid="{806D72EE-8C10-4EF7-AE58-1797A2269D59}"/>
    <cellStyle name="Percent 80 2 4" xfId="115" xr:uid="{465CBFC4-BD09-4AF9-A83F-04407E3E668B}"/>
    <cellStyle name="Percent 80 2 4 2" xfId="229" xr:uid="{76B1B55C-90B4-414A-A4C2-1519CA113CBC}"/>
    <cellStyle name="Percent 80 2 5" xfId="172" xr:uid="{7B497ECA-770A-4D26-8007-7ECC5314ED41}"/>
    <cellStyle name="Percent 88 3" xfId="66" xr:uid="{313A81F8-8719-4BE9-8BB0-7BD344748F1E}"/>
    <cellStyle name="Percent 88 3 2" xfId="89" xr:uid="{E0ABBF92-C5AC-4D9B-AA0B-E63F4AFD895C}"/>
    <cellStyle name="Percent 88 3 2 2" xfId="146" xr:uid="{9D8E6A51-B3F9-4199-A8C6-9BDFB7B9357F}"/>
    <cellStyle name="Percent 88 3 2 2 2" xfId="260" xr:uid="{08CED8C5-978C-4B53-8F71-21ADA7E2978D}"/>
    <cellStyle name="Percent 88 3 2 3" xfId="203" xr:uid="{2B9B13FB-6F0F-4F14-A94C-D0D4C900BDAD}"/>
    <cellStyle name="Percent 88 3 3" xfId="101" xr:uid="{9CBD3C11-8738-43BB-9FC9-666BF91714F6}"/>
    <cellStyle name="Percent 88 3 3 2" xfId="158" xr:uid="{F94148DE-091A-4A1E-ACC6-B9DD1F00196E}"/>
    <cellStyle name="Percent 88 3 3 2 2" xfId="272" xr:uid="{D294EF1F-64A4-4F18-9BE4-818404F1B581}"/>
    <cellStyle name="Percent 88 3 3 3" xfId="215" xr:uid="{1BC41F70-4C0A-447C-954F-BF66AC5748B0}"/>
    <cellStyle name="Percent 88 3 4" xfId="113" xr:uid="{01352D18-5589-47CD-B488-E314C837757A}"/>
    <cellStyle name="Percent 88 3 4 2" xfId="227" xr:uid="{B1CC2068-3854-4652-82F6-A1B8328B357C}"/>
    <cellStyle name="Percent 88 3 5" xfId="170" xr:uid="{55163104-C6A6-4C89-8EAF-2DB6151BE801}"/>
    <cellStyle name="Title" xfId="13" builtinId="15" customBuiltin="1"/>
    <cellStyle name="Total" xfId="27" builtinId="25" customBuiltin="1"/>
    <cellStyle name="Warning Text" xfId="25" builtinId="11" customBuiltin="1"/>
  </cellStyles>
  <dxfs count="13">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59996337778862885"/>
        </patternFill>
      </fill>
    </dxf>
  </dxfs>
  <tableStyles count="1" defaultTableStyle="TableStyleMedium2" defaultPivotStyle="PivotStyleMedium9">
    <tableStyle name="Invisible" pivot="0" table="0" count="0" xr9:uid="{30010060-84BC-42C5-BB80-0EB586F5218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eadvisors-my.sharepoint.com/personal/wakanni_ceadvisors_com/Documents/Desktop/ROE%20Model%208-31-23.xlsm" TargetMode="External"/><Relationship Id="rId1" Type="http://schemas.openxmlformats.org/officeDocument/2006/relationships/externalLinkPath" Target="ROE%20Model%208-31-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_snloffice"/>
      <sheetName val="Instructions"/>
      <sheetName val="Inputs"/>
      <sheetName val="Log"/>
      <sheetName val="Constant_DCF"/>
      <sheetName val="Multi-Stage_DCF_2"/>
      <sheetName val="CAPM"/>
      <sheetName val="CAPM_New_Format"/>
      <sheetName val="Company_Data"/>
      <sheetName val="Growth_Rates"/>
      <sheetName val="Expected_Earnings"/>
      <sheetName val="CapEx"/>
      <sheetName val="Value_Line_Data"/>
      <sheetName val="GDP_Growth"/>
      <sheetName val="Credit_Rating"/>
      <sheetName val="Credit_Rating_Download"/>
      <sheetName val="Payout_Ratios"/>
      <sheetName val="Business Segment"/>
      <sheetName val="Screening"/>
      <sheetName val="S&amp;P_500"/>
      <sheetName val="S&amp;P_500_Download"/>
      <sheetName val="VL Universe Growth Rates"/>
      <sheetName val="Price"/>
      <sheetName val="Price_Download"/>
      <sheetName val="Dividend"/>
      <sheetName val="Dividend_Download"/>
      <sheetName val="B_Beta"/>
      <sheetName val="B_Beta_Download"/>
      <sheetName val="SNL Data"/>
      <sheetName val="FERC Form 1_2 Data"/>
    </sheetNames>
    <sheetDataSet>
      <sheetData sheetId="0"/>
      <sheetData sheetId="1"/>
      <sheetData sheetId="2">
        <row r="42">
          <cell r="J42" t="str">
            <v>AAA</v>
          </cell>
          <cell r="K42" t="str">
            <v>Yes</v>
          </cell>
        </row>
        <row r="43">
          <cell r="J43" t="str">
            <v>AA+</v>
          </cell>
          <cell r="K43" t="str">
            <v>Yes</v>
          </cell>
        </row>
        <row r="44">
          <cell r="J44" t="str">
            <v>AA</v>
          </cell>
          <cell r="K44" t="str">
            <v>Yes</v>
          </cell>
        </row>
        <row r="45">
          <cell r="J45" t="str">
            <v>AA-</v>
          </cell>
          <cell r="K45" t="str">
            <v>Yes</v>
          </cell>
        </row>
        <row r="46">
          <cell r="J46" t="str">
            <v>A+</v>
          </cell>
          <cell r="K46" t="str">
            <v>Yes</v>
          </cell>
        </row>
        <row r="47">
          <cell r="J47" t="str">
            <v>A</v>
          </cell>
          <cell r="K47" t="str">
            <v>Yes</v>
          </cell>
        </row>
        <row r="48">
          <cell r="J48" t="str">
            <v>A-</v>
          </cell>
          <cell r="K48" t="str">
            <v>Yes</v>
          </cell>
        </row>
        <row r="49">
          <cell r="J49" t="str">
            <v>BBB+</v>
          </cell>
          <cell r="K49" t="str">
            <v>Yes</v>
          </cell>
        </row>
        <row r="50">
          <cell r="J50" t="str">
            <v>BBB</v>
          </cell>
        </row>
        <row r="51">
          <cell r="J51" t="str">
            <v>BBB-</v>
          </cell>
        </row>
        <row r="52">
          <cell r="J52" t="str">
            <v>BB+</v>
          </cell>
        </row>
        <row r="53">
          <cell r="J53" t="str">
            <v>BB</v>
          </cell>
        </row>
        <row r="54">
          <cell r="J54" t="str">
            <v>BB-</v>
          </cell>
        </row>
        <row r="55">
          <cell r="J55" t="str">
            <v>B+</v>
          </cell>
        </row>
        <row r="56">
          <cell r="J56" t="str">
            <v>B</v>
          </cell>
        </row>
        <row r="57">
          <cell r="J57" t="str">
            <v>B-</v>
          </cell>
        </row>
        <row r="58">
          <cell r="J58" t="str">
            <v>CCC+</v>
          </cell>
        </row>
        <row r="59">
          <cell r="J59" t="str">
            <v>CCC</v>
          </cell>
        </row>
        <row r="60">
          <cell r="J60" t="str">
            <v>CCC-</v>
          </cell>
        </row>
        <row r="61">
          <cell r="J61" t="str">
            <v>CC</v>
          </cell>
        </row>
        <row r="62">
          <cell r="J62" t="str">
            <v>C</v>
          </cell>
        </row>
        <row r="63">
          <cell r="J63" t="str">
            <v>D</v>
          </cell>
        </row>
        <row r="64">
          <cell r="J64" t="str">
            <v>NR</v>
          </cell>
        </row>
        <row r="92">
          <cell r="C92" t="str">
            <v>ATO</v>
          </cell>
          <cell r="R92">
            <v>1</v>
          </cell>
        </row>
        <row r="93">
          <cell r="C93" t="str">
            <v>CPK</v>
          </cell>
          <cell r="R93">
            <v>1</v>
          </cell>
        </row>
        <row r="94">
          <cell r="C94" t="str">
            <v>NJR</v>
          </cell>
          <cell r="R94">
            <v>1</v>
          </cell>
        </row>
        <row r="95">
          <cell r="C95" t="str">
            <v>NI</v>
          </cell>
          <cell r="R95">
            <v>1</v>
          </cell>
        </row>
        <row r="96">
          <cell r="C96" t="str">
            <v>NWN</v>
          </cell>
          <cell r="R96">
            <v>1</v>
          </cell>
        </row>
        <row r="97">
          <cell r="C97" t="str">
            <v>OGS</v>
          </cell>
          <cell r="R97">
            <v>1</v>
          </cell>
        </row>
        <row r="98">
          <cell r="C98" t="str">
            <v>SJI</v>
          </cell>
          <cell r="R98">
            <v>1</v>
          </cell>
        </row>
        <row r="99">
          <cell r="C99" t="str">
            <v>SWX</v>
          </cell>
          <cell r="R99">
            <v>1</v>
          </cell>
        </row>
        <row r="100">
          <cell r="C100" t="str">
            <v>SR</v>
          </cell>
          <cell r="R100">
            <v>1</v>
          </cell>
        </row>
        <row r="101">
          <cell r="C101" t="str">
            <v>UGI</v>
          </cell>
          <cell r="R101">
            <v>1</v>
          </cell>
        </row>
        <row r="102">
          <cell r="C102" t="str">
            <v>ALE</v>
          </cell>
          <cell r="R102">
            <v>1</v>
          </cell>
        </row>
        <row r="103">
          <cell r="C103" t="str">
            <v>LNT</v>
          </cell>
          <cell r="R103">
            <v>1</v>
          </cell>
        </row>
        <row r="104">
          <cell r="C104" t="str">
            <v>AEE</v>
          </cell>
          <cell r="R104">
            <v>1</v>
          </cell>
        </row>
        <row r="105">
          <cell r="C105" t="str">
            <v>AEP</v>
          </cell>
          <cell r="R105">
            <v>1</v>
          </cell>
        </row>
        <row r="106">
          <cell r="C106" t="str">
            <v>AGR</v>
          </cell>
          <cell r="R106">
            <v>1</v>
          </cell>
        </row>
        <row r="107">
          <cell r="C107" t="str">
            <v>AVA</v>
          </cell>
          <cell r="R107">
            <v>1</v>
          </cell>
        </row>
        <row r="108">
          <cell r="C108" t="str">
            <v>BKH</v>
          </cell>
          <cell r="R108">
            <v>1</v>
          </cell>
        </row>
        <row r="109">
          <cell r="C109" t="str">
            <v>CNP</v>
          </cell>
          <cell r="R109">
            <v>1</v>
          </cell>
        </row>
        <row r="110">
          <cell r="C110" t="str">
            <v>CMS</v>
          </cell>
          <cell r="R110">
            <v>1</v>
          </cell>
        </row>
        <row r="111">
          <cell r="C111" t="str">
            <v>ED</v>
          </cell>
          <cell r="R111">
            <v>1</v>
          </cell>
        </row>
        <row r="112">
          <cell r="C112" t="str">
            <v>D</v>
          </cell>
          <cell r="R112">
            <v>1</v>
          </cell>
        </row>
        <row r="113">
          <cell r="C113" t="str">
            <v>DTE</v>
          </cell>
          <cell r="R113">
            <v>1</v>
          </cell>
        </row>
        <row r="114">
          <cell r="C114" t="str">
            <v>DUK</v>
          </cell>
          <cell r="R114">
            <v>1</v>
          </cell>
        </row>
        <row r="115">
          <cell r="C115" t="str">
            <v>EIX</v>
          </cell>
          <cell r="R115">
            <v>1</v>
          </cell>
        </row>
        <row r="116">
          <cell r="C116" t="str">
            <v>ETR</v>
          </cell>
          <cell r="R116">
            <v>1</v>
          </cell>
        </row>
        <row r="117">
          <cell r="C117" t="str">
            <v>ES</v>
          </cell>
          <cell r="R117">
            <v>1</v>
          </cell>
        </row>
        <row r="118">
          <cell r="C118" t="str">
            <v>EXC</v>
          </cell>
          <cell r="R118">
            <v>1</v>
          </cell>
        </row>
        <row r="119">
          <cell r="C119" t="str">
            <v>FE</v>
          </cell>
          <cell r="R119">
            <v>1</v>
          </cell>
        </row>
        <row r="120">
          <cell r="C120" t="str">
            <v>EVRG</v>
          </cell>
          <cell r="R120">
            <v>1</v>
          </cell>
        </row>
        <row r="121">
          <cell r="C121" t="str">
            <v>HE</v>
          </cell>
          <cell r="R121">
            <v>1</v>
          </cell>
        </row>
        <row r="122">
          <cell r="C122" t="str">
            <v>IDA</v>
          </cell>
          <cell r="R122">
            <v>1</v>
          </cell>
        </row>
        <row r="123">
          <cell r="C123" t="str">
            <v>MGEE</v>
          </cell>
          <cell r="R123">
            <v>1</v>
          </cell>
        </row>
        <row r="124">
          <cell r="C124" t="str">
            <v>NEE</v>
          </cell>
          <cell r="R124">
            <v>1</v>
          </cell>
        </row>
        <row r="125">
          <cell r="C125" t="str">
            <v>NWE</v>
          </cell>
          <cell r="R125">
            <v>1</v>
          </cell>
        </row>
        <row r="126">
          <cell r="C126" t="str">
            <v>OGE</v>
          </cell>
          <cell r="R126">
            <v>1</v>
          </cell>
        </row>
        <row r="127">
          <cell r="C127" t="str">
            <v>OTTR</v>
          </cell>
          <cell r="R127">
            <v>1</v>
          </cell>
        </row>
        <row r="128">
          <cell r="C128" t="str">
            <v>PCG</v>
          </cell>
          <cell r="R128">
            <v>1</v>
          </cell>
        </row>
        <row r="129">
          <cell r="C129" t="str">
            <v>PNW</v>
          </cell>
          <cell r="R129">
            <v>1</v>
          </cell>
        </row>
        <row r="130">
          <cell r="C130" t="str">
            <v>PNM</v>
          </cell>
          <cell r="R130">
            <v>1</v>
          </cell>
        </row>
        <row r="131">
          <cell r="C131" t="str">
            <v>POR</v>
          </cell>
          <cell r="R131">
            <v>1</v>
          </cell>
        </row>
        <row r="132">
          <cell r="C132" t="str">
            <v>PPL</v>
          </cell>
          <cell r="R132">
            <v>1</v>
          </cell>
        </row>
        <row r="133">
          <cell r="C133" t="str">
            <v>PEG</v>
          </cell>
          <cell r="R133">
            <v>1</v>
          </cell>
        </row>
        <row r="134">
          <cell r="C134" t="str">
            <v>SRE</v>
          </cell>
          <cell r="R134">
            <v>1</v>
          </cell>
        </row>
        <row r="135">
          <cell r="C135" t="str">
            <v>SO</v>
          </cell>
          <cell r="R135">
            <v>1</v>
          </cell>
        </row>
        <row r="136">
          <cell r="C136" t="str">
            <v>UTL</v>
          </cell>
          <cell r="R136">
            <v>1</v>
          </cell>
        </row>
        <row r="137">
          <cell r="C137" t="str">
            <v>WEC</v>
          </cell>
          <cell r="R137">
            <v>1</v>
          </cell>
        </row>
        <row r="138">
          <cell r="C138" t="str">
            <v>XEL</v>
          </cell>
          <cell r="R138">
            <v>1</v>
          </cell>
        </row>
        <row r="139">
          <cell r="C139" t="str">
            <v>AQN</v>
          </cell>
          <cell r="R139">
            <v>1</v>
          </cell>
        </row>
        <row r="140">
          <cell r="C140" t="str">
            <v>ALA</v>
          </cell>
          <cell r="R140">
            <v>1</v>
          </cell>
        </row>
        <row r="141">
          <cell r="C141" t="str">
            <v>CU</v>
          </cell>
          <cell r="R141">
            <v>1</v>
          </cell>
        </row>
        <row r="142">
          <cell r="C142" t="str">
            <v>EMA</v>
          </cell>
          <cell r="R142">
            <v>1</v>
          </cell>
        </row>
        <row r="143">
          <cell r="C143" t="str">
            <v>ENB</v>
          </cell>
          <cell r="R143">
            <v>1</v>
          </cell>
        </row>
        <row r="144">
          <cell r="C144" t="str">
            <v>FTS</v>
          </cell>
          <cell r="R144">
            <v>1</v>
          </cell>
        </row>
        <row r="145">
          <cell r="C145" t="str">
            <v>H</v>
          </cell>
          <cell r="R145">
            <v>1</v>
          </cell>
        </row>
        <row r="146">
          <cell r="C146" t="str">
            <v>TRP</v>
          </cell>
          <cell r="R146">
            <v>1</v>
          </cell>
        </row>
        <row r="147">
          <cell r="C147" t="str">
            <v>AWK</v>
          </cell>
          <cell r="R147">
            <v>1</v>
          </cell>
        </row>
        <row r="148">
          <cell r="C148" t="str">
            <v>AWR</v>
          </cell>
          <cell r="R148">
            <v>1</v>
          </cell>
        </row>
        <row r="149">
          <cell r="C149" t="str">
            <v>CWT</v>
          </cell>
          <cell r="R149">
            <v>1</v>
          </cell>
        </row>
        <row r="150">
          <cell r="C150" t="str">
            <v>MSEX</v>
          </cell>
          <cell r="R150">
            <v>1</v>
          </cell>
        </row>
        <row r="151">
          <cell r="C151" t="str">
            <v>SJW</v>
          </cell>
          <cell r="R151">
            <v>1</v>
          </cell>
        </row>
        <row r="152">
          <cell r="C152" t="str">
            <v>WTRG</v>
          </cell>
          <cell r="R152">
            <v>1</v>
          </cell>
        </row>
        <row r="153">
          <cell r="C153" t="str">
            <v>YORW</v>
          </cell>
          <cell r="R153">
            <v>1</v>
          </cell>
        </row>
      </sheetData>
      <sheetData sheetId="3"/>
      <sheetData sheetId="4">
        <row r="11">
          <cell r="B11" t="str">
            <v>ATO</v>
          </cell>
          <cell r="G11" t="str">
            <v/>
          </cell>
          <cell r="H11" t="str">
            <v/>
          </cell>
          <cell r="I11">
            <v>7.0000000000000007E-2</v>
          </cell>
          <cell r="J11" t="str">
            <v/>
          </cell>
          <cell r="K11" t="str">
            <v/>
          </cell>
          <cell r="L11">
            <v>7.4999999999999997E-2</v>
          </cell>
          <cell r="M11">
            <v>7.2999999999999995E-2</v>
          </cell>
          <cell r="P11">
            <v>7.2666666666666671E-2</v>
          </cell>
        </row>
        <row r="12">
          <cell r="B12" t="str">
            <v>CPK</v>
          </cell>
          <cell r="G12" t="str">
            <v/>
          </cell>
          <cell r="H12" t="str">
            <v/>
          </cell>
          <cell r="I12">
            <v>0.06</v>
          </cell>
          <cell r="J12" t="str">
            <v/>
          </cell>
          <cell r="K12" t="str">
            <v/>
          </cell>
          <cell r="L12">
            <v>7.0000000000000007E-2</v>
          </cell>
          <cell r="M12" t="str">
            <v>n/a</v>
          </cell>
          <cell r="P12">
            <v>6.5000000000000002E-2</v>
          </cell>
        </row>
        <row r="13">
          <cell r="B13" t="str">
            <v>NJR</v>
          </cell>
          <cell r="G13" t="str">
            <v/>
          </cell>
          <cell r="H13" t="str">
            <v/>
          </cell>
          <cell r="I13">
            <v>0.05</v>
          </cell>
          <cell r="J13" t="str">
            <v/>
          </cell>
          <cell r="K13" t="str">
            <v/>
          </cell>
          <cell r="L13">
            <v>0.06</v>
          </cell>
          <cell r="M13">
            <v>0.06</v>
          </cell>
          <cell r="P13">
            <v>5.6666666666666664E-2</v>
          </cell>
        </row>
        <row r="14">
          <cell r="B14" t="str">
            <v>NI</v>
          </cell>
          <cell r="G14" t="str">
            <v/>
          </cell>
          <cell r="H14" t="str">
            <v/>
          </cell>
          <cell r="I14">
            <v>9.5000000000000001E-2</v>
          </cell>
          <cell r="J14" t="str">
            <v/>
          </cell>
          <cell r="K14" t="str">
            <v/>
          </cell>
          <cell r="L14">
            <v>6.7000000000000004E-2</v>
          </cell>
          <cell r="M14">
            <v>7.0000000000000007E-2</v>
          </cell>
          <cell r="P14">
            <v>7.7333333333333337E-2</v>
          </cell>
        </row>
        <row r="15">
          <cell r="B15" t="str">
            <v>NWN</v>
          </cell>
          <cell r="G15" t="str">
            <v/>
          </cell>
          <cell r="H15" t="str">
            <v/>
          </cell>
          <cell r="I15">
            <v>6.5000000000000002E-2</v>
          </cell>
          <cell r="J15" t="str">
            <v/>
          </cell>
          <cell r="K15" t="str">
            <v/>
          </cell>
          <cell r="L15">
            <v>2.8000000000000001E-2</v>
          </cell>
          <cell r="M15">
            <v>3.6999999999999998E-2</v>
          </cell>
          <cell r="P15">
            <v>4.3333333333333335E-2</v>
          </cell>
        </row>
        <row r="16">
          <cell r="B16" t="str">
            <v>OGS</v>
          </cell>
          <cell r="G16" t="str">
            <v/>
          </cell>
          <cell r="H16" t="str">
            <v/>
          </cell>
          <cell r="I16">
            <v>6.5000000000000002E-2</v>
          </cell>
          <cell r="J16" t="str">
            <v/>
          </cell>
          <cell r="K16" t="str">
            <v/>
          </cell>
          <cell r="L16">
            <v>0.05</v>
          </cell>
          <cell r="M16">
            <v>0.05</v>
          </cell>
          <cell r="P16">
            <v>5.5E-2</v>
          </cell>
        </row>
        <row r="17">
          <cell r="B17" t="str">
            <v>SJI</v>
          </cell>
          <cell r="G17" t="str">
            <v/>
          </cell>
          <cell r="H17" t="str">
            <v/>
          </cell>
          <cell r="I17" t="str">
            <v>n/a</v>
          </cell>
          <cell r="J17" t="str">
            <v/>
          </cell>
          <cell r="K17" t="str">
            <v/>
          </cell>
          <cell r="L17" t="str">
            <v>n/a</v>
          </cell>
          <cell r="M17" t="str">
            <v>n/a</v>
          </cell>
          <cell r="P17" t="str">
            <v/>
          </cell>
        </row>
        <row r="18">
          <cell r="B18" t="str">
            <v>SWX</v>
          </cell>
          <cell r="G18" t="str">
            <v/>
          </cell>
          <cell r="H18" t="str">
            <v/>
          </cell>
          <cell r="I18">
            <v>0.1</v>
          </cell>
          <cell r="J18" t="str">
            <v/>
          </cell>
          <cell r="K18" t="str">
            <v/>
          </cell>
          <cell r="L18">
            <v>0.04</v>
          </cell>
          <cell r="M18">
            <v>0.05</v>
          </cell>
          <cell r="P18">
            <v>6.3333333333333339E-2</v>
          </cell>
        </row>
        <row r="19">
          <cell r="B19" t="str">
            <v>SR</v>
          </cell>
          <cell r="G19" t="str">
            <v/>
          </cell>
          <cell r="H19" t="str">
            <v/>
          </cell>
          <cell r="I19">
            <v>0.08</v>
          </cell>
          <cell r="J19" t="str">
            <v/>
          </cell>
          <cell r="K19" t="str">
            <v/>
          </cell>
          <cell r="L19" t="str">
            <v>n/a</v>
          </cell>
          <cell r="M19">
            <v>4.2000000000000003E-2</v>
          </cell>
          <cell r="P19">
            <v>6.0999999999999999E-2</v>
          </cell>
        </row>
        <row r="20">
          <cell r="B20" t="str">
            <v>UGI</v>
          </cell>
          <cell r="G20" t="str">
            <v/>
          </cell>
          <cell r="H20" t="str">
            <v/>
          </cell>
          <cell r="I20">
            <v>6.5000000000000002E-2</v>
          </cell>
          <cell r="J20" t="str">
            <v/>
          </cell>
          <cell r="K20" t="str">
            <v/>
          </cell>
          <cell r="L20">
            <v>5.7500000000000002E-2</v>
          </cell>
          <cell r="M20">
            <v>0.08</v>
          </cell>
          <cell r="P20">
            <v>6.7500000000000004E-2</v>
          </cell>
        </row>
        <row r="21">
          <cell r="B21" t="str">
            <v>ALE</v>
          </cell>
          <cell r="G21" t="str">
            <v/>
          </cell>
          <cell r="H21" t="str">
            <v/>
          </cell>
          <cell r="I21">
            <v>0.06</v>
          </cell>
          <cell r="J21" t="str">
            <v/>
          </cell>
          <cell r="K21" t="str">
            <v/>
          </cell>
          <cell r="L21">
            <v>8.1000000000000003E-2</v>
          </cell>
          <cell r="M21">
            <v>8.1000000000000003E-2</v>
          </cell>
          <cell r="P21">
            <v>7.400000000000001E-2</v>
          </cell>
        </row>
        <row r="22">
          <cell r="B22" t="str">
            <v>LNT</v>
          </cell>
          <cell r="G22" t="str">
            <v/>
          </cell>
          <cell r="H22" t="str">
            <v/>
          </cell>
          <cell r="I22">
            <v>6.5000000000000002E-2</v>
          </cell>
          <cell r="J22" t="str">
            <v/>
          </cell>
          <cell r="K22" t="str">
            <v/>
          </cell>
          <cell r="L22">
            <v>7.0000000000000007E-2</v>
          </cell>
          <cell r="M22">
            <v>6.5000000000000002E-2</v>
          </cell>
          <cell r="P22">
            <v>6.6666666666666666E-2</v>
          </cell>
        </row>
        <row r="23">
          <cell r="B23" t="str">
            <v>AEE</v>
          </cell>
          <cell r="G23" t="str">
            <v/>
          </cell>
          <cell r="H23" t="str">
            <v/>
          </cell>
          <cell r="I23">
            <v>6.5000000000000002E-2</v>
          </cell>
          <cell r="J23" t="str">
            <v/>
          </cell>
          <cell r="K23" t="str">
            <v/>
          </cell>
          <cell r="L23">
            <v>5.8999999999999997E-2</v>
          </cell>
          <cell r="M23">
            <v>6.4000000000000001E-2</v>
          </cell>
          <cell r="P23">
            <v>6.2666666666666662E-2</v>
          </cell>
        </row>
        <row r="24">
          <cell r="B24" t="str">
            <v>AEP</v>
          </cell>
          <cell r="G24" t="str">
            <v/>
          </cell>
          <cell r="H24" t="str">
            <v/>
          </cell>
          <cell r="I24">
            <v>0.06</v>
          </cell>
          <cell r="J24" t="str">
            <v/>
          </cell>
          <cell r="K24" t="str">
            <v/>
          </cell>
          <cell r="L24">
            <v>5.1999999999999998E-2</v>
          </cell>
          <cell r="M24">
            <v>5.6000000000000001E-2</v>
          </cell>
          <cell r="P24">
            <v>5.5999999999999994E-2</v>
          </cell>
        </row>
        <row r="25">
          <cell r="B25" t="str">
            <v>AGR</v>
          </cell>
          <cell r="G25" t="str">
            <v/>
          </cell>
          <cell r="H25" t="str">
            <v/>
          </cell>
          <cell r="I25">
            <v>0.04</v>
          </cell>
          <cell r="J25" t="str">
            <v/>
          </cell>
          <cell r="K25" t="str">
            <v/>
          </cell>
          <cell r="L25" t="str">
            <v>negative</v>
          </cell>
          <cell r="M25">
            <v>4.3999999999999997E-2</v>
          </cell>
          <cell r="P25">
            <v>4.1999999999999996E-2</v>
          </cell>
        </row>
        <row r="26">
          <cell r="B26" t="str">
            <v>AVA</v>
          </cell>
          <cell r="G26" t="str">
            <v/>
          </cell>
          <cell r="H26" t="str">
            <v/>
          </cell>
          <cell r="I26">
            <v>6.5000000000000002E-2</v>
          </cell>
          <cell r="J26" t="str">
            <v/>
          </cell>
          <cell r="K26" t="str">
            <v/>
          </cell>
          <cell r="L26">
            <v>6.3E-2</v>
          </cell>
          <cell r="M26">
            <v>6.3E-2</v>
          </cell>
          <cell r="P26">
            <v>6.3666666666666663E-2</v>
          </cell>
        </row>
        <row r="27">
          <cell r="B27" t="str">
            <v>BKH</v>
          </cell>
          <cell r="G27" t="str">
            <v/>
          </cell>
          <cell r="H27" t="str">
            <v/>
          </cell>
          <cell r="I27">
            <v>0.03</v>
          </cell>
          <cell r="J27" t="str">
            <v/>
          </cell>
          <cell r="K27" t="str">
            <v/>
          </cell>
          <cell r="L27">
            <v>5.3999999999999999E-2</v>
          </cell>
          <cell r="M27">
            <v>2.1999999999999999E-2</v>
          </cell>
          <cell r="P27">
            <v>3.5333333333333328E-2</v>
          </cell>
        </row>
        <row r="28">
          <cell r="B28" t="str">
            <v>CNP</v>
          </cell>
          <cell r="G28" t="str">
            <v/>
          </cell>
          <cell r="H28" t="str">
            <v/>
          </cell>
          <cell r="I28">
            <v>6.5000000000000002E-2</v>
          </cell>
          <cell r="J28" t="str">
            <v/>
          </cell>
          <cell r="K28" t="str">
            <v/>
          </cell>
          <cell r="L28" t="str">
            <v>negative</v>
          </cell>
          <cell r="M28">
            <v>7.4999999999999997E-2</v>
          </cell>
          <cell r="P28">
            <v>7.0000000000000007E-2</v>
          </cell>
        </row>
        <row r="29">
          <cell r="B29" t="str">
            <v>CMS</v>
          </cell>
          <cell r="G29" t="str">
            <v/>
          </cell>
          <cell r="H29" t="str">
            <v/>
          </cell>
          <cell r="I29">
            <v>6.5000000000000002E-2</v>
          </cell>
          <cell r="J29" t="str">
            <v/>
          </cell>
          <cell r="K29" t="str">
            <v/>
          </cell>
          <cell r="L29">
            <v>7.8E-2</v>
          </cell>
          <cell r="M29">
            <v>7.8E-2</v>
          </cell>
          <cell r="P29">
            <v>7.3666666666666672E-2</v>
          </cell>
        </row>
        <row r="30">
          <cell r="B30" t="str">
            <v>ED</v>
          </cell>
          <cell r="G30" t="str">
            <v/>
          </cell>
          <cell r="H30" t="str">
            <v/>
          </cell>
          <cell r="I30">
            <v>0.06</v>
          </cell>
          <cell r="J30" t="str">
            <v/>
          </cell>
          <cell r="K30" t="str">
            <v/>
          </cell>
          <cell r="L30">
            <v>6.1199999999999997E-2</v>
          </cell>
          <cell r="M30">
            <v>0.02</v>
          </cell>
          <cell r="P30">
            <v>4.7066666666666666E-2</v>
          </cell>
        </row>
        <row r="31">
          <cell r="B31" t="str">
            <v>D</v>
          </cell>
          <cell r="G31" t="str">
            <v/>
          </cell>
          <cell r="H31" t="str">
            <v/>
          </cell>
          <cell r="I31">
            <v>2.5000000000000001E-2</v>
          </cell>
          <cell r="J31" t="str">
            <v/>
          </cell>
          <cell r="K31" t="str">
            <v/>
          </cell>
          <cell r="L31">
            <v>0.09</v>
          </cell>
          <cell r="M31">
            <v>0.2</v>
          </cell>
          <cell r="P31">
            <v>0.105</v>
          </cell>
        </row>
        <row r="32">
          <cell r="B32" t="str">
            <v>DTE</v>
          </cell>
          <cell r="G32" t="str">
            <v/>
          </cell>
          <cell r="H32" t="str">
            <v/>
          </cell>
          <cell r="I32">
            <v>4.4999999999999998E-2</v>
          </cell>
          <cell r="J32" t="str">
            <v/>
          </cell>
          <cell r="K32" t="str">
            <v/>
          </cell>
          <cell r="L32">
            <v>7.3999999999999996E-2</v>
          </cell>
          <cell r="M32">
            <v>0.06</v>
          </cell>
          <cell r="P32">
            <v>5.9666666666666666E-2</v>
          </cell>
        </row>
        <row r="33">
          <cell r="B33" t="str">
            <v>DUK</v>
          </cell>
          <cell r="G33" t="str">
            <v/>
          </cell>
          <cell r="H33" t="str">
            <v/>
          </cell>
          <cell r="I33">
            <v>0.05</v>
          </cell>
          <cell r="J33" t="str">
            <v/>
          </cell>
          <cell r="K33" t="str">
            <v/>
          </cell>
          <cell r="L33">
            <v>5.9499999999999997E-2</v>
          </cell>
          <cell r="M33">
            <v>6.0999999999999999E-2</v>
          </cell>
          <cell r="P33">
            <v>5.6833333333333326E-2</v>
          </cell>
        </row>
        <row r="34">
          <cell r="B34" t="str">
            <v>EIX</v>
          </cell>
          <cell r="G34" t="str">
            <v/>
          </cell>
          <cell r="H34" t="str">
            <v/>
          </cell>
          <cell r="I34">
            <v>4.4999999999999998E-2</v>
          </cell>
          <cell r="J34" t="str">
            <v/>
          </cell>
          <cell r="K34" t="str">
            <v/>
          </cell>
          <cell r="L34">
            <v>4.53E-2</v>
          </cell>
          <cell r="M34">
            <v>3.6999999999999998E-2</v>
          </cell>
          <cell r="P34">
            <v>4.243333333333333E-2</v>
          </cell>
        </row>
        <row r="35">
          <cell r="B35" t="str">
            <v>ETR</v>
          </cell>
          <cell r="G35" t="str">
            <v/>
          </cell>
          <cell r="H35" t="str">
            <v/>
          </cell>
          <cell r="I35">
            <v>5.0000000000000001E-3</v>
          </cell>
          <cell r="J35" t="str">
            <v/>
          </cell>
          <cell r="K35" t="str">
            <v/>
          </cell>
          <cell r="L35">
            <v>6.6000000000000003E-2</v>
          </cell>
          <cell r="M35">
            <v>5.7000000000000002E-2</v>
          </cell>
          <cell r="P35">
            <v>4.2666666666666665E-2</v>
          </cell>
        </row>
        <row r="36">
          <cell r="B36" t="str">
            <v>ES</v>
          </cell>
          <cell r="G36" t="str">
            <v/>
          </cell>
          <cell r="H36" t="str">
            <v/>
          </cell>
          <cell r="I36">
            <v>6.5000000000000002E-2</v>
          </cell>
          <cell r="J36" t="str">
            <v/>
          </cell>
          <cell r="K36" t="str">
            <v/>
          </cell>
          <cell r="L36">
            <v>6.7000000000000004E-2</v>
          </cell>
          <cell r="M36">
            <v>5.7000000000000002E-2</v>
          </cell>
          <cell r="P36">
            <v>6.3E-2</v>
          </cell>
        </row>
        <row r="37">
          <cell r="B37" t="str">
            <v>EXC</v>
          </cell>
          <cell r="G37" t="str">
            <v/>
          </cell>
          <cell r="H37" t="str">
            <v/>
          </cell>
          <cell r="I37" t="str">
            <v>NMF</v>
          </cell>
          <cell r="J37" t="str">
            <v/>
          </cell>
          <cell r="K37" t="str">
            <v/>
          </cell>
          <cell r="L37">
            <v>6.3E-2</v>
          </cell>
          <cell r="M37">
            <v>6.3E-2</v>
          </cell>
          <cell r="P37">
            <v>6.3E-2</v>
          </cell>
        </row>
        <row r="38">
          <cell r="B38" t="str">
            <v>FE</v>
          </cell>
          <cell r="G38" t="str">
            <v/>
          </cell>
          <cell r="H38" t="str">
            <v/>
          </cell>
          <cell r="I38">
            <v>0.04</v>
          </cell>
          <cell r="J38" t="str">
            <v/>
          </cell>
          <cell r="K38" t="str">
            <v/>
          </cell>
          <cell r="L38">
            <v>6.7599999999999993E-2</v>
          </cell>
          <cell r="M38">
            <v>6.4000000000000001E-2</v>
          </cell>
          <cell r="P38">
            <v>5.7200000000000001E-2</v>
          </cell>
        </row>
        <row r="39">
          <cell r="B39" t="str">
            <v>EVRG</v>
          </cell>
          <cell r="I39">
            <v>7.4999999999999997E-2</v>
          </cell>
          <cell r="J39" t="str">
            <v/>
          </cell>
          <cell r="K39" t="str">
            <v/>
          </cell>
          <cell r="L39">
            <v>2.6700000000000002E-2</v>
          </cell>
          <cell r="M39">
            <v>5.1999999999999998E-2</v>
          </cell>
          <cell r="P39">
            <v>5.1233333333333332E-2</v>
          </cell>
        </row>
        <row r="40">
          <cell r="B40" t="str">
            <v>HE</v>
          </cell>
          <cell r="G40" t="str">
            <v/>
          </cell>
          <cell r="H40" t="str">
            <v/>
          </cell>
          <cell r="I40">
            <v>4.4999999999999998E-2</v>
          </cell>
          <cell r="J40" t="str">
            <v/>
          </cell>
          <cell r="K40" t="str">
            <v/>
          </cell>
          <cell r="L40">
            <v>4.2000000000000003E-2</v>
          </cell>
          <cell r="M40">
            <v>4.2000000000000003E-2</v>
          </cell>
          <cell r="P40">
            <v>4.3000000000000003E-2</v>
          </cell>
        </row>
        <row r="41">
          <cell r="B41" t="str">
            <v>IDA</v>
          </cell>
          <cell r="G41" t="str">
            <v/>
          </cell>
          <cell r="H41" t="str">
            <v/>
          </cell>
          <cell r="I41">
            <v>0.05</v>
          </cell>
          <cell r="J41" t="str">
            <v/>
          </cell>
          <cell r="K41" t="str">
            <v/>
          </cell>
          <cell r="L41">
            <v>3.6999999999999998E-2</v>
          </cell>
          <cell r="M41">
            <v>3.6999999999999998E-2</v>
          </cell>
          <cell r="P41">
            <v>4.1333333333333333E-2</v>
          </cell>
        </row>
        <row r="42">
          <cell r="B42" t="str">
            <v>MGEE</v>
          </cell>
          <cell r="G42" t="str">
            <v/>
          </cell>
          <cell r="H42" t="str">
            <v/>
          </cell>
          <cell r="I42" t="str">
            <v>n/a</v>
          </cell>
          <cell r="J42" t="str">
            <v/>
          </cell>
          <cell r="K42" t="str">
            <v/>
          </cell>
          <cell r="L42">
            <v>5.3999999999999999E-2</v>
          </cell>
          <cell r="M42">
            <v>5.2999999999999999E-2</v>
          </cell>
          <cell r="P42">
            <v>5.3499999999999999E-2</v>
          </cell>
        </row>
        <row r="43">
          <cell r="B43" t="str">
            <v>NEE</v>
          </cell>
          <cell r="G43" t="str">
            <v/>
          </cell>
          <cell r="H43" t="str">
            <v/>
          </cell>
          <cell r="I43">
            <v>9.5000000000000001E-2</v>
          </cell>
          <cell r="J43" t="str">
            <v/>
          </cell>
          <cell r="K43" t="str">
            <v/>
          </cell>
          <cell r="L43">
            <v>8.7999999999999995E-2</v>
          </cell>
          <cell r="M43">
            <v>8.4000000000000005E-2</v>
          </cell>
          <cell r="P43">
            <v>8.900000000000001E-2</v>
          </cell>
        </row>
        <row r="44">
          <cell r="B44" t="str">
            <v>NWE</v>
          </cell>
          <cell r="G44" t="str">
            <v/>
          </cell>
          <cell r="H44" t="str">
            <v/>
          </cell>
          <cell r="I44">
            <v>3.5000000000000003E-2</v>
          </cell>
          <cell r="J44" t="str">
            <v/>
          </cell>
          <cell r="K44" t="str">
            <v/>
          </cell>
          <cell r="L44">
            <v>3.6600000000000001E-2</v>
          </cell>
          <cell r="M44">
            <v>5.1999999999999998E-2</v>
          </cell>
          <cell r="P44">
            <v>4.1199999999999994E-2</v>
          </cell>
        </row>
        <row r="45">
          <cell r="B45" t="str">
            <v>OGE</v>
          </cell>
          <cell r="G45" t="str">
            <v/>
          </cell>
          <cell r="H45" t="str">
            <v/>
          </cell>
          <cell r="I45">
            <v>6.5000000000000002E-2</v>
          </cell>
          <cell r="J45" t="str">
            <v/>
          </cell>
          <cell r="K45" t="str">
            <v/>
          </cell>
          <cell r="L45" t="str">
            <v>negative</v>
          </cell>
          <cell r="M45">
            <v>3.6999999999999998E-2</v>
          </cell>
          <cell r="P45">
            <v>5.1000000000000004E-2</v>
          </cell>
        </row>
        <row r="46">
          <cell r="B46" t="str">
            <v>OTTR</v>
          </cell>
          <cell r="G46" t="str">
            <v/>
          </cell>
          <cell r="H46" t="str">
            <v/>
          </cell>
          <cell r="I46">
            <v>4.4999999999999998E-2</v>
          </cell>
          <cell r="J46" t="str">
            <v/>
          </cell>
          <cell r="K46" t="str">
            <v/>
          </cell>
          <cell r="L46">
            <v>0.09</v>
          </cell>
          <cell r="M46" t="str">
            <v>n/a</v>
          </cell>
          <cell r="P46">
            <v>6.7500000000000004E-2</v>
          </cell>
        </row>
        <row r="47">
          <cell r="B47" t="str">
            <v>PCG</v>
          </cell>
          <cell r="G47" t="str">
            <v/>
          </cell>
          <cell r="H47" t="str">
            <v/>
          </cell>
          <cell r="I47" t="str">
            <v>n/a</v>
          </cell>
          <cell r="J47" t="str">
            <v/>
          </cell>
          <cell r="K47" t="str">
            <v/>
          </cell>
          <cell r="L47">
            <v>4.3999999999999997E-2</v>
          </cell>
          <cell r="M47">
            <v>2.5000000000000001E-2</v>
          </cell>
          <cell r="P47">
            <v>3.4500000000000003E-2</v>
          </cell>
        </row>
        <row r="48">
          <cell r="B48" t="str">
            <v>PNW</v>
          </cell>
          <cell r="G48" t="str">
            <v/>
          </cell>
          <cell r="H48" t="str">
            <v/>
          </cell>
          <cell r="I48">
            <v>2.5000000000000001E-2</v>
          </cell>
          <cell r="J48" t="str">
            <v/>
          </cell>
          <cell r="K48" t="str">
            <v/>
          </cell>
          <cell r="L48">
            <v>6.0999999999999999E-2</v>
          </cell>
          <cell r="M48">
            <v>6.5000000000000002E-2</v>
          </cell>
          <cell r="P48">
            <v>5.0333333333333334E-2</v>
          </cell>
        </row>
        <row r="49">
          <cell r="B49" t="str">
            <v>PNM</v>
          </cell>
          <cell r="G49" t="str">
            <v/>
          </cell>
          <cell r="H49" t="str">
            <v/>
          </cell>
          <cell r="I49">
            <v>0.05</v>
          </cell>
          <cell r="J49" t="str">
            <v/>
          </cell>
          <cell r="K49" t="str">
            <v/>
          </cell>
          <cell r="L49">
            <v>5.3699999999999998E-2</v>
          </cell>
          <cell r="M49">
            <v>4.4999999999999998E-2</v>
          </cell>
          <cell r="P49">
            <v>4.9566666666666669E-2</v>
          </cell>
        </row>
        <row r="50">
          <cell r="B50" t="str">
            <v>POR</v>
          </cell>
          <cell r="G50" t="str">
            <v/>
          </cell>
          <cell r="H50" t="str">
            <v/>
          </cell>
          <cell r="I50">
            <v>0.05</v>
          </cell>
          <cell r="J50" t="str">
            <v/>
          </cell>
          <cell r="K50" t="str">
            <v/>
          </cell>
          <cell r="L50">
            <v>5.8999999999999997E-2</v>
          </cell>
          <cell r="M50">
            <v>0.06</v>
          </cell>
          <cell r="P50">
            <v>5.6333333333333326E-2</v>
          </cell>
        </row>
        <row r="51">
          <cell r="B51" t="str">
            <v>PPL</v>
          </cell>
          <cell r="G51" t="str">
            <v/>
          </cell>
          <cell r="H51" t="str">
            <v/>
          </cell>
          <cell r="I51">
            <v>0.08</v>
          </cell>
          <cell r="J51" t="str">
            <v/>
          </cell>
          <cell r="K51" t="str">
            <v/>
          </cell>
          <cell r="L51">
            <v>0.1721</v>
          </cell>
          <cell r="M51">
            <v>7.3999999999999996E-2</v>
          </cell>
          <cell r="P51">
            <v>0.1087</v>
          </cell>
        </row>
        <row r="52">
          <cell r="B52" t="str">
            <v>PEG</v>
          </cell>
          <cell r="G52" t="str">
            <v/>
          </cell>
          <cell r="H52" t="str">
            <v/>
          </cell>
          <cell r="I52">
            <v>0.04</v>
          </cell>
          <cell r="J52" t="str">
            <v/>
          </cell>
          <cell r="K52" t="str">
            <v/>
          </cell>
          <cell r="L52">
            <v>5.5E-2</v>
          </cell>
          <cell r="M52">
            <v>5.5E-2</v>
          </cell>
          <cell r="P52">
            <v>4.9999999999999996E-2</v>
          </cell>
        </row>
        <row r="53">
          <cell r="B53" t="str">
            <v>SRE</v>
          </cell>
          <cell r="G53" t="str">
            <v/>
          </cell>
          <cell r="H53" t="str">
            <v/>
          </cell>
          <cell r="I53">
            <v>7.0000000000000007E-2</v>
          </cell>
          <cell r="J53" t="str">
            <v/>
          </cell>
          <cell r="K53" t="str">
            <v/>
          </cell>
          <cell r="L53">
            <v>4.1399999999999999E-2</v>
          </cell>
          <cell r="M53">
            <v>0.05</v>
          </cell>
          <cell r="P53">
            <v>5.3799999999999994E-2</v>
          </cell>
        </row>
        <row r="54">
          <cell r="B54" t="str">
            <v>SO</v>
          </cell>
          <cell r="G54" t="str">
            <v/>
          </cell>
          <cell r="H54" t="str">
            <v/>
          </cell>
          <cell r="I54">
            <v>6.5000000000000002E-2</v>
          </cell>
          <cell r="J54" t="str">
            <v/>
          </cell>
          <cell r="K54" t="str">
            <v/>
          </cell>
          <cell r="L54">
            <v>7.2999999999999995E-2</v>
          </cell>
          <cell r="M54">
            <v>0.04</v>
          </cell>
          <cell r="P54">
            <v>5.9333333333333342E-2</v>
          </cell>
        </row>
        <row r="55">
          <cell r="B55" t="str">
            <v>UTL</v>
          </cell>
          <cell r="G55" t="str">
            <v/>
          </cell>
          <cell r="H55" t="str">
            <v/>
          </cell>
          <cell r="I55" t="str">
            <v>n/a</v>
          </cell>
          <cell r="J55" t="str">
            <v/>
          </cell>
          <cell r="K55" t="str">
            <v/>
          </cell>
          <cell r="L55" t="str">
            <v>n/a</v>
          </cell>
          <cell r="M55" t="str">
            <v>n/a</v>
          </cell>
          <cell r="P55" t="str">
            <v/>
          </cell>
        </row>
        <row r="56">
          <cell r="B56" t="str">
            <v>WEC</v>
          </cell>
          <cell r="G56" t="str">
            <v/>
          </cell>
          <cell r="H56" t="str">
            <v/>
          </cell>
          <cell r="I56">
            <v>0.06</v>
          </cell>
          <cell r="J56" t="str">
            <v/>
          </cell>
          <cell r="K56" t="str">
            <v/>
          </cell>
          <cell r="L56">
            <v>5.5E-2</v>
          </cell>
          <cell r="M56">
            <v>5.8000000000000003E-2</v>
          </cell>
          <cell r="P56">
            <v>5.7666666666666665E-2</v>
          </cell>
        </row>
        <row r="57">
          <cell r="B57" t="str">
            <v>XEL</v>
          </cell>
          <cell r="G57" t="str">
            <v/>
          </cell>
          <cell r="H57" t="str">
            <v/>
          </cell>
          <cell r="I57">
            <v>0.06</v>
          </cell>
          <cell r="J57" t="str">
            <v/>
          </cell>
          <cell r="K57" t="str">
            <v/>
          </cell>
          <cell r="L57">
            <v>6.3E-2</v>
          </cell>
          <cell r="M57">
            <v>6.0999999999999999E-2</v>
          </cell>
          <cell r="P57">
            <v>6.133333333333333E-2</v>
          </cell>
        </row>
        <row r="58">
          <cell r="B58" t="str">
            <v>AQN</v>
          </cell>
          <cell r="G58" t="str">
            <v/>
          </cell>
          <cell r="H58" t="str">
            <v/>
          </cell>
          <cell r="I58" t="str">
            <v>n/a</v>
          </cell>
          <cell r="J58" t="str">
            <v/>
          </cell>
          <cell r="K58" t="str">
            <v/>
          </cell>
          <cell r="L58">
            <v>4.1000000000000003E-3</v>
          </cell>
          <cell r="M58">
            <v>0.03</v>
          </cell>
          <cell r="P58">
            <v>1.7049999999999999E-2</v>
          </cell>
        </row>
        <row r="59">
          <cell r="B59" t="str">
            <v>ALA</v>
          </cell>
          <cell r="G59" t="str">
            <v/>
          </cell>
          <cell r="H59" t="str">
            <v/>
          </cell>
          <cell r="I59" t="str">
            <v>n/a</v>
          </cell>
          <cell r="J59" t="str">
            <v/>
          </cell>
          <cell r="K59" t="str">
            <v/>
          </cell>
          <cell r="L59">
            <v>4.65E-2</v>
          </cell>
          <cell r="M59" t="str">
            <v>n/a</v>
          </cell>
          <cell r="P59">
            <v>4.65E-2</v>
          </cell>
        </row>
        <row r="60">
          <cell r="B60" t="str">
            <v>CU</v>
          </cell>
          <cell r="G60" t="str">
            <v/>
          </cell>
          <cell r="H60" t="str">
            <v/>
          </cell>
          <cell r="I60" t="str">
            <v>n/a</v>
          </cell>
          <cell r="J60" t="str">
            <v/>
          </cell>
          <cell r="K60" t="str">
            <v/>
          </cell>
          <cell r="L60">
            <v>1.9199999999999998E-2</v>
          </cell>
          <cell r="M60" t="str">
            <v>n/a</v>
          </cell>
          <cell r="P60">
            <v>1.9199999999999998E-2</v>
          </cell>
        </row>
        <row r="61">
          <cell r="B61" t="str">
            <v>EMA</v>
          </cell>
          <cell r="G61" t="str">
            <v/>
          </cell>
          <cell r="H61" t="str">
            <v/>
          </cell>
          <cell r="I61">
            <v>0.13</v>
          </cell>
          <cell r="J61" t="str">
            <v/>
          </cell>
          <cell r="K61" t="str">
            <v/>
          </cell>
          <cell r="L61">
            <v>3.49E-2</v>
          </cell>
          <cell r="M61" t="str">
            <v>n/a</v>
          </cell>
          <cell r="P61">
            <v>8.2449999999999996E-2</v>
          </cell>
        </row>
        <row r="62">
          <cell r="B62" t="str">
            <v>ENB</v>
          </cell>
          <cell r="G62" t="str">
            <v/>
          </cell>
          <cell r="H62" t="str">
            <v/>
          </cell>
          <cell r="I62">
            <v>0.1</v>
          </cell>
          <cell r="J62" t="str">
            <v/>
          </cell>
          <cell r="K62" t="str">
            <v/>
          </cell>
          <cell r="L62">
            <v>2.87E-2</v>
          </cell>
          <cell r="M62">
            <v>0.06</v>
          </cell>
          <cell r="P62">
            <v>6.2899999999999998E-2</v>
          </cell>
        </row>
        <row r="63">
          <cell r="B63" t="str">
            <v>FTS</v>
          </cell>
          <cell r="G63" t="str">
            <v/>
          </cell>
          <cell r="H63" t="str">
            <v/>
          </cell>
          <cell r="I63">
            <v>0.05</v>
          </cell>
          <cell r="J63" t="str">
            <v/>
          </cell>
          <cell r="K63" t="str">
            <v/>
          </cell>
          <cell r="L63">
            <v>5.6000000000000001E-2</v>
          </cell>
          <cell r="M63">
            <v>4.9000000000000002E-2</v>
          </cell>
          <cell r="P63">
            <v>5.1666666666666673E-2</v>
          </cell>
        </row>
        <row r="64">
          <cell r="B64" t="str">
            <v>H</v>
          </cell>
          <cell r="G64" t="str">
            <v/>
          </cell>
          <cell r="H64" t="str">
            <v/>
          </cell>
          <cell r="I64" t="str">
            <v>n/a</v>
          </cell>
          <cell r="J64" t="str">
            <v/>
          </cell>
          <cell r="K64" t="str">
            <v/>
          </cell>
          <cell r="L64">
            <v>5.33E-2</v>
          </cell>
          <cell r="M64" t="str">
            <v>n/a</v>
          </cell>
          <cell r="P64">
            <v>5.33E-2</v>
          </cell>
        </row>
        <row r="65">
          <cell r="B65" t="str">
            <v>TRP</v>
          </cell>
          <cell r="G65" t="str">
            <v/>
          </cell>
          <cell r="H65" t="str">
            <v/>
          </cell>
          <cell r="I65">
            <v>0.12</v>
          </cell>
          <cell r="J65" t="str">
            <v/>
          </cell>
          <cell r="K65" t="str">
            <v/>
          </cell>
          <cell r="L65" t="str">
            <v>negative</v>
          </cell>
          <cell r="M65">
            <v>0.04</v>
          </cell>
          <cell r="P65">
            <v>0.08</v>
          </cell>
        </row>
        <row r="66">
          <cell r="B66" t="str">
            <v>AWK</v>
          </cell>
          <cell r="G66" t="str">
            <v/>
          </cell>
          <cell r="H66" t="str">
            <v/>
          </cell>
          <cell r="I66">
            <v>0.03</v>
          </cell>
          <cell r="J66" t="str">
            <v/>
          </cell>
          <cell r="K66" t="str">
            <v/>
          </cell>
          <cell r="L66">
            <v>8.0699999999999994E-2</v>
          </cell>
          <cell r="M66">
            <v>8.2000000000000003E-2</v>
          </cell>
          <cell r="P66">
            <v>6.4233333333333323E-2</v>
          </cell>
        </row>
        <row r="67">
          <cell r="B67" t="str">
            <v>AWR</v>
          </cell>
          <cell r="G67" t="str">
            <v/>
          </cell>
          <cell r="H67" t="str">
            <v/>
          </cell>
          <cell r="I67">
            <v>6.5000000000000002E-2</v>
          </cell>
          <cell r="J67" t="str">
            <v/>
          </cell>
          <cell r="K67" t="str">
            <v/>
          </cell>
          <cell r="L67">
            <v>4.3999999999999997E-2</v>
          </cell>
          <cell r="M67">
            <v>6.3E-2</v>
          </cell>
          <cell r="P67">
            <v>5.7333333333333326E-2</v>
          </cell>
        </row>
        <row r="68">
          <cell r="B68" t="str">
            <v>CWT</v>
          </cell>
          <cell r="G68" t="str">
            <v/>
          </cell>
          <cell r="H68" t="str">
            <v/>
          </cell>
          <cell r="I68">
            <v>6.5000000000000002E-2</v>
          </cell>
          <cell r="J68" t="str">
            <v/>
          </cell>
          <cell r="K68" t="str">
            <v/>
          </cell>
          <cell r="L68">
            <v>0.108</v>
          </cell>
          <cell r="M68" t="str">
            <v>n/a</v>
          </cell>
          <cell r="P68">
            <v>8.6499999999999994E-2</v>
          </cell>
        </row>
        <row r="69">
          <cell r="B69" t="str">
            <v>MSEX</v>
          </cell>
          <cell r="G69" t="str">
            <v/>
          </cell>
          <cell r="H69" t="str">
            <v/>
          </cell>
          <cell r="I69">
            <v>0.05</v>
          </cell>
          <cell r="J69" t="str">
            <v/>
          </cell>
          <cell r="K69" t="str">
            <v/>
          </cell>
          <cell r="L69">
            <v>2.7E-2</v>
          </cell>
          <cell r="M69" t="str">
            <v>n/a</v>
          </cell>
          <cell r="P69">
            <v>3.85E-2</v>
          </cell>
        </row>
        <row r="70">
          <cell r="B70" t="str">
            <v>SJW</v>
          </cell>
          <cell r="G70" t="str">
            <v/>
          </cell>
          <cell r="H70" t="str">
            <v/>
          </cell>
          <cell r="I70">
            <v>6.5000000000000002E-2</v>
          </cell>
          <cell r="J70" t="str">
            <v/>
          </cell>
          <cell r="K70" t="str">
            <v/>
          </cell>
          <cell r="L70">
            <v>6.0999999999999999E-2</v>
          </cell>
          <cell r="M70" t="str">
            <v>n/a</v>
          </cell>
          <cell r="P70">
            <v>6.3E-2</v>
          </cell>
        </row>
        <row r="71">
          <cell r="B71" t="str">
            <v>WTRG</v>
          </cell>
          <cell r="G71" t="str">
            <v/>
          </cell>
          <cell r="H71" t="str">
            <v/>
          </cell>
          <cell r="I71">
            <v>7.4999999999999997E-2</v>
          </cell>
          <cell r="J71" t="str">
            <v/>
          </cell>
          <cell r="K71" t="str">
            <v/>
          </cell>
          <cell r="L71">
            <v>5.3999999999999999E-2</v>
          </cell>
          <cell r="M71">
            <v>5.6000000000000001E-2</v>
          </cell>
          <cell r="P71">
            <v>6.1666666666666668E-2</v>
          </cell>
        </row>
        <row r="72">
          <cell r="B72" t="str">
            <v>YORW</v>
          </cell>
          <cell r="G72" t="str">
            <v/>
          </cell>
          <cell r="H72" t="str">
            <v/>
          </cell>
          <cell r="I72" t="str">
            <v>n/a</v>
          </cell>
          <cell r="J72" t="str">
            <v/>
          </cell>
          <cell r="K72" t="str">
            <v/>
          </cell>
          <cell r="L72">
            <v>4.9000000000000002E-2</v>
          </cell>
          <cell r="M72" t="str">
            <v>n/a</v>
          </cell>
          <cell r="P72">
            <v>4.9000000000000002E-2</v>
          </cell>
        </row>
      </sheetData>
      <sheetData sheetId="5"/>
      <sheetData sheetId="6"/>
      <sheetData sheetId="7"/>
      <sheetData sheetId="8">
        <row r="6">
          <cell r="C6" t="str">
            <v>ATO</v>
          </cell>
          <cell r="E6" t="str">
            <v>A-</v>
          </cell>
          <cell r="F6" t="str">
            <v>Yes</v>
          </cell>
          <cell r="G6" t="str">
            <v>Yes</v>
          </cell>
          <cell r="H6">
            <v>0.85</v>
          </cell>
          <cell r="I6">
            <v>0.80081539341775798</v>
          </cell>
          <cell r="J6">
            <v>0.82540769670887904</v>
          </cell>
          <cell r="K6" t="str">
            <v>No</v>
          </cell>
          <cell r="L6" t="str">
            <v>No</v>
          </cell>
          <cell r="M6">
            <v>0</v>
          </cell>
          <cell r="N6" t="str">
            <v>n/a</v>
          </cell>
          <cell r="O6" t="str">
            <v>n/a</v>
          </cell>
          <cell r="P6" t="str">
            <v>n/a</v>
          </cell>
          <cell r="Q6">
            <v>0</v>
          </cell>
          <cell r="R6" t="str">
            <v>n/a</v>
          </cell>
          <cell r="S6">
            <v>1</v>
          </cell>
          <cell r="T6">
            <v>1</v>
          </cell>
          <cell r="U6">
            <v>1</v>
          </cell>
          <cell r="V6">
            <v>0</v>
          </cell>
          <cell r="W6">
            <v>0</v>
          </cell>
          <cell r="X6">
            <v>0</v>
          </cell>
          <cell r="Y6">
            <v>0.94000861621029286</v>
          </cell>
          <cell r="Z6">
            <v>0.66028348799463277</v>
          </cell>
          <cell r="AA6">
            <v>0.81302140154431057</v>
          </cell>
          <cell r="AE6">
            <v>0</v>
          </cell>
          <cell r="AF6">
            <v>0</v>
          </cell>
          <cell r="AG6">
            <v>0</v>
          </cell>
          <cell r="AH6">
            <v>0.946765333187221</v>
          </cell>
          <cell r="AI6">
            <v>0.66028348799463277</v>
          </cell>
          <cell r="AJ6">
            <v>0.81302140154431057</v>
          </cell>
          <cell r="AO6" t="str">
            <v>No</v>
          </cell>
        </row>
        <row r="7">
          <cell r="C7" t="str">
            <v>CPK</v>
          </cell>
          <cell r="E7" t="str">
            <v>NR</v>
          </cell>
          <cell r="F7" t="str">
            <v>Yes</v>
          </cell>
          <cell r="G7" t="str">
            <v>Yes</v>
          </cell>
          <cell r="H7">
            <v>0.8</v>
          </cell>
          <cell r="I7">
            <v>0.73947729867913048</v>
          </cell>
          <cell r="J7">
            <v>0.76973864933956526</v>
          </cell>
          <cell r="K7" t="str">
            <v>Yes</v>
          </cell>
          <cell r="L7" t="str">
            <v>No</v>
          </cell>
          <cell r="M7">
            <v>0</v>
          </cell>
          <cell r="N7" t="str">
            <v>n/a</v>
          </cell>
          <cell r="O7" t="str">
            <v>n/a</v>
          </cell>
          <cell r="P7" t="str">
            <v>n/a</v>
          </cell>
          <cell r="Q7">
            <v>0</v>
          </cell>
          <cell r="R7" t="str">
            <v>n/a</v>
          </cell>
          <cell r="S7">
            <v>0.66997666695028124</v>
          </cell>
          <cell r="T7">
            <v>0.81128226933823522</v>
          </cell>
          <cell r="U7">
            <v>0.78200465472763636</v>
          </cell>
          <cell r="V7">
            <v>0.20473020655007756</v>
          </cell>
          <cell r="W7">
            <v>7.0007675508297174E-2</v>
          </cell>
          <cell r="X7">
            <v>0.10958018394253444</v>
          </cell>
          <cell r="Y7">
            <v>0.65882610722100787</v>
          </cell>
          <cell r="Z7">
            <v>0.42840240774703209</v>
          </cell>
          <cell r="AA7">
            <v>0.51173310108160397</v>
          </cell>
          <cell r="AE7">
            <v>0.1375905120356494</v>
          </cell>
          <cell r="AF7">
            <v>5.6811464636403332E-2</v>
          </cell>
          <cell r="AG7">
            <v>8.572570072467374E-2</v>
          </cell>
          <cell r="AH7">
            <v>0.44620856717026136</v>
          </cell>
          <cell r="AI7">
            <v>0.34744072758392947</v>
          </cell>
          <cell r="AJ7">
            <v>0.40006283509905821</v>
          </cell>
          <cell r="AO7" t="str">
            <v>No</v>
          </cell>
        </row>
        <row r="8">
          <cell r="C8" t="str">
            <v>NJR</v>
          </cell>
          <cell r="E8" t="str">
            <v>NR</v>
          </cell>
          <cell r="F8" t="str">
            <v>Yes</v>
          </cell>
          <cell r="G8" t="str">
            <v>Yes</v>
          </cell>
          <cell r="H8">
            <v>0.95</v>
          </cell>
          <cell r="I8">
            <v>0.84190535136178601</v>
          </cell>
          <cell r="J8">
            <v>0.89595267568089298</v>
          </cell>
          <cell r="K8" t="str">
            <v>Yes</v>
          </cell>
          <cell r="L8" t="str">
            <v>No</v>
          </cell>
          <cell r="M8">
            <v>0</v>
          </cell>
          <cell r="N8" t="str">
            <v>n/a</v>
          </cell>
          <cell r="O8" t="str">
            <v>n/a</v>
          </cell>
          <cell r="P8" t="str">
            <v>n/a</v>
          </cell>
          <cell r="Q8">
            <v>0</v>
          </cell>
          <cell r="R8" t="str">
            <v>n/a</v>
          </cell>
          <cell r="S8">
            <v>0.38989937092604904</v>
          </cell>
          <cell r="T8">
            <v>0.66348793432886843</v>
          </cell>
          <cell r="U8">
            <v>0.80837628884036983</v>
          </cell>
          <cell r="V8">
            <v>0</v>
          </cell>
          <cell r="W8">
            <v>0</v>
          </cell>
          <cell r="X8">
            <v>0</v>
          </cell>
          <cell r="Y8">
            <v>0.94546875189159296</v>
          </cell>
          <cell r="Z8">
            <v>0.92477834899671496</v>
          </cell>
          <cell r="AA8">
            <v>0.8065132804560381</v>
          </cell>
          <cell r="AE8">
            <v>0</v>
          </cell>
          <cell r="AF8">
            <v>0</v>
          </cell>
          <cell r="AG8">
            <v>0</v>
          </cell>
          <cell r="AH8">
            <v>0.36759252332325559</v>
          </cell>
          <cell r="AI8">
            <v>0.61408912360200774</v>
          </cell>
          <cell r="AJ8">
            <v>0.65196159236757556</v>
          </cell>
          <cell r="AO8" t="str">
            <v>No</v>
          </cell>
        </row>
        <row r="9">
          <cell r="C9" t="str">
            <v>NI</v>
          </cell>
          <cell r="E9" t="str">
            <v>BBB+</v>
          </cell>
          <cell r="F9" t="str">
            <v>Yes</v>
          </cell>
          <cell r="G9" t="str">
            <v>Yes</v>
          </cell>
          <cell r="H9">
            <v>0.9</v>
          </cell>
          <cell r="I9">
            <v>0.85921687987555906</v>
          </cell>
          <cell r="J9">
            <v>0.87960843993777948</v>
          </cell>
          <cell r="K9" t="str">
            <v>Yes</v>
          </cell>
          <cell r="L9" t="str">
            <v>Yes</v>
          </cell>
          <cell r="M9">
            <v>0.26253066947073256</v>
          </cell>
          <cell r="N9">
            <v>0.73396424815983174</v>
          </cell>
          <cell r="O9">
            <v>0</v>
          </cell>
          <cell r="P9">
            <v>3.5050823694356818E-3</v>
          </cell>
          <cell r="Q9">
            <v>0</v>
          </cell>
          <cell r="R9">
            <v>1</v>
          </cell>
          <cell r="S9">
            <v>1.0025770238350862</v>
          </cell>
          <cell r="T9">
            <v>0.99847027547078993</v>
          </cell>
          <cell r="U9">
            <v>0.92018195221234167</v>
          </cell>
          <cell r="V9">
            <v>0.32977316703973231</v>
          </cell>
          <cell r="W9">
            <v>0.34330241711596798</v>
          </cell>
          <cell r="X9">
            <v>0.3218617085519731</v>
          </cell>
          <cell r="Y9">
            <v>0.67661304187500881</v>
          </cell>
          <cell r="Z9">
            <v>0.65669758288403202</v>
          </cell>
          <cell r="AA9">
            <v>0.67813829144802684</v>
          </cell>
          <cell r="AE9">
            <v>0.33062518922146622</v>
          </cell>
          <cell r="AF9">
            <v>0.34273629784851461</v>
          </cell>
          <cell r="AG9">
            <v>0.29614779455664292</v>
          </cell>
          <cell r="AH9">
            <v>0.67195183461361996</v>
          </cell>
          <cell r="AI9">
            <v>0.65573397762227525</v>
          </cell>
          <cell r="AJ9">
            <v>0.6240341576556987</v>
          </cell>
          <cell r="AO9" t="str">
            <v>Yes</v>
          </cell>
        </row>
        <row r="10">
          <cell r="C10" t="str">
            <v>NWN</v>
          </cell>
          <cell r="E10" t="str">
            <v>A+</v>
          </cell>
          <cell r="F10" t="str">
            <v>Yes</v>
          </cell>
          <cell r="G10" t="str">
            <v>Yes</v>
          </cell>
          <cell r="H10">
            <v>0.8</v>
          </cell>
          <cell r="I10">
            <v>0.73731008293006262</v>
          </cell>
          <cell r="J10">
            <v>0.76865504146503127</v>
          </cell>
          <cell r="K10" t="str">
            <v>No</v>
          </cell>
          <cell r="L10" t="str">
            <v>No</v>
          </cell>
          <cell r="M10">
            <v>0</v>
          </cell>
          <cell r="N10" t="str">
            <v>n/a</v>
          </cell>
          <cell r="O10" t="str">
            <v>n/a</v>
          </cell>
          <cell r="P10" t="str">
            <v>n/a</v>
          </cell>
          <cell r="Q10">
            <v>0</v>
          </cell>
          <cell r="R10" t="str">
            <v>n/a</v>
          </cell>
          <cell r="S10">
            <v>0.97945302759849984</v>
          </cell>
          <cell r="T10">
            <v>0.99840243746250446</v>
          </cell>
          <cell r="U10">
            <v>0.95168010498171729</v>
          </cell>
          <cell r="V10">
            <v>0</v>
          </cell>
          <cell r="W10">
            <v>0</v>
          </cell>
          <cell r="X10">
            <v>0</v>
          </cell>
          <cell r="Y10">
            <v>0.97638934154600554</v>
          </cell>
          <cell r="Z10">
            <v>0.91010806276968481</v>
          </cell>
          <cell r="AA10">
            <v>0.98645719171517776</v>
          </cell>
          <cell r="AE10">
            <v>0</v>
          </cell>
          <cell r="AF10">
            <v>0</v>
          </cell>
          <cell r="AG10">
            <v>0</v>
          </cell>
          <cell r="AH10">
            <v>0.95379821377016005</v>
          </cell>
          <cell r="AI10">
            <v>0.90861779791656883</v>
          </cell>
          <cell r="AJ10">
            <v>0.93879129169696396</v>
          </cell>
          <cell r="AO10" t="str">
            <v>No</v>
          </cell>
        </row>
        <row r="11">
          <cell r="C11" t="str">
            <v>OGS</v>
          </cell>
          <cell r="E11" t="str">
            <v>A-</v>
          </cell>
          <cell r="F11" t="str">
            <v>Yes</v>
          </cell>
          <cell r="G11" t="str">
            <v>Yes</v>
          </cell>
          <cell r="H11">
            <v>0.8</v>
          </cell>
          <cell r="I11">
            <v>0.81894530538387755</v>
          </cell>
          <cell r="J11">
            <v>0.8094726526919388</v>
          </cell>
          <cell r="K11" t="str">
            <v>No</v>
          </cell>
          <cell r="L11" t="str">
            <v>No</v>
          </cell>
          <cell r="M11">
            <v>0</v>
          </cell>
          <cell r="N11" t="str">
            <v>n/a</v>
          </cell>
          <cell r="O11" t="str">
            <v>n/a</v>
          </cell>
          <cell r="P11" t="str">
            <v>n/a</v>
          </cell>
          <cell r="Q11">
            <v>0</v>
          </cell>
          <cell r="R11" t="str">
            <v>n/a</v>
          </cell>
          <cell r="S11">
            <v>1</v>
          </cell>
          <cell r="T11">
            <v>1</v>
          </cell>
          <cell r="U11">
            <v>1</v>
          </cell>
          <cell r="V11">
            <v>0</v>
          </cell>
          <cell r="W11">
            <v>0</v>
          </cell>
          <cell r="X11">
            <v>0</v>
          </cell>
          <cell r="Y11">
            <v>1</v>
          </cell>
          <cell r="Z11">
            <v>1</v>
          </cell>
          <cell r="AA11">
            <v>1</v>
          </cell>
          <cell r="AE11">
            <v>0</v>
          </cell>
          <cell r="AF11">
            <v>0</v>
          </cell>
          <cell r="AG11">
            <v>0</v>
          </cell>
          <cell r="AH11">
            <v>1</v>
          </cell>
          <cell r="AI11">
            <v>1</v>
          </cell>
          <cell r="AJ11">
            <v>1</v>
          </cell>
          <cell r="AO11" t="str">
            <v>No</v>
          </cell>
        </row>
        <row r="12">
          <cell r="C12" t="str">
            <v>SJI</v>
          </cell>
          <cell r="E12" t="str">
            <v>NR</v>
          </cell>
          <cell r="F12" t="str">
            <v>No</v>
          </cell>
          <cell r="G12" t="str">
            <v>No</v>
          </cell>
          <cell r="H12" t="str">
            <v>n/a</v>
          </cell>
          <cell r="I12">
            <v>0.7993685203815879</v>
          </cell>
          <cell r="J12">
            <v>0.7993685203815879</v>
          </cell>
          <cell r="K12" t="str">
            <v>Yes</v>
          </cell>
          <cell r="L12" t="str">
            <v>No</v>
          </cell>
          <cell r="M12">
            <v>0</v>
          </cell>
          <cell r="N12" t="str">
            <v>n/a</v>
          </cell>
          <cell r="O12" t="str">
            <v>n/a</v>
          </cell>
          <cell r="P12" t="str">
            <v>n/a</v>
          </cell>
          <cell r="Q12">
            <v>0</v>
          </cell>
          <cell r="R12" t="str">
            <v>n/a</v>
          </cell>
          <cell r="S12">
            <v>0.54558092369643152</v>
          </cell>
          <cell r="T12">
            <v>0.88157026638560865</v>
          </cell>
          <cell r="U12">
            <v>0.91470105803704438</v>
          </cell>
          <cell r="V12">
            <v>0</v>
          </cell>
          <cell r="W12">
            <v>0</v>
          </cell>
          <cell r="X12">
            <v>0</v>
          </cell>
          <cell r="Y12">
            <v>1</v>
          </cell>
          <cell r="Z12">
            <v>1</v>
          </cell>
          <cell r="AA12">
            <v>1</v>
          </cell>
          <cell r="AE12">
            <v>0</v>
          </cell>
          <cell r="AF12">
            <v>0</v>
          </cell>
          <cell r="AG12">
            <v>0</v>
          </cell>
          <cell r="AH12">
            <v>0.54558092369643152</v>
          </cell>
          <cell r="AI12">
            <v>0.88157026638560865</v>
          </cell>
          <cell r="AJ12">
            <v>0.91470105803704438</v>
          </cell>
          <cell r="AO12" t="str">
            <v>Yes</v>
          </cell>
        </row>
        <row r="13">
          <cell r="C13" t="str">
            <v>SWX</v>
          </cell>
          <cell r="E13" t="str">
            <v>BBB-</v>
          </cell>
          <cell r="F13" t="str">
            <v>Yes</v>
          </cell>
          <cell r="G13" t="str">
            <v>Yes</v>
          </cell>
          <cell r="H13">
            <v>0.9</v>
          </cell>
          <cell r="I13">
            <v>0.87023363237556672</v>
          </cell>
          <cell r="J13">
            <v>0.88511681618778337</v>
          </cell>
          <cell r="K13" t="str">
            <v>No</v>
          </cell>
          <cell r="L13" t="str">
            <v>No</v>
          </cell>
          <cell r="M13">
            <v>0</v>
          </cell>
          <cell r="N13" t="str">
            <v>n/a</v>
          </cell>
          <cell r="O13" t="str">
            <v>n/a</v>
          </cell>
          <cell r="P13" t="str">
            <v>n/a</v>
          </cell>
          <cell r="Q13">
            <v>0</v>
          </cell>
          <cell r="R13" t="str">
            <v>n/a</v>
          </cell>
          <cell r="S13">
            <v>0.41166924324111359</v>
          </cell>
          <cell r="T13">
            <v>0.76877587892651533</v>
          </cell>
          <cell r="U13">
            <v>0.7836473026017865</v>
          </cell>
          <cell r="V13">
            <v>0</v>
          </cell>
          <cell r="W13">
            <v>0</v>
          </cell>
          <cell r="X13">
            <v>0</v>
          </cell>
          <cell r="Y13">
            <v>1</v>
          </cell>
          <cell r="Z13">
            <v>1</v>
          </cell>
          <cell r="AA13">
            <v>1</v>
          </cell>
          <cell r="AE13">
            <v>0</v>
          </cell>
          <cell r="AF13">
            <v>0</v>
          </cell>
          <cell r="AG13">
            <v>0</v>
          </cell>
          <cell r="AH13">
            <v>0.41166924324111359</v>
          </cell>
          <cell r="AI13">
            <v>0.76877587892651533</v>
          </cell>
          <cell r="AJ13">
            <v>0.7836473026017865</v>
          </cell>
          <cell r="AO13" t="str">
            <v>Yes</v>
          </cell>
        </row>
        <row r="14">
          <cell r="C14" t="str">
            <v>SR</v>
          </cell>
          <cell r="E14" t="str">
            <v>A-</v>
          </cell>
          <cell r="F14" t="str">
            <v>Yes</v>
          </cell>
          <cell r="G14" t="str">
            <v>No</v>
          </cell>
          <cell r="H14">
            <v>0.85</v>
          </cell>
          <cell r="I14">
            <v>0.83435902945233997</v>
          </cell>
          <cell r="J14">
            <v>0.84217951472616992</v>
          </cell>
          <cell r="K14" t="str">
            <v>No</v>
          </cell>
          <cell r="L14" t="str">
            <v>No</v>
          </cell>
          <cell r="M14">
            <v>0</v>
          </cell>
          <cell r="N14" t="str">
            <v>n/a</v>
          </cell>
          <cell r="O14" t="str">
            <v>n/a</v>
          </cell>
          <cell r="P14" t="str">
            <v>n/a</v>
          </cell>
          <cell r="Q14">
            <v>0</v>
          </cell>
          <cell r="R14" t="str">
            <v>n/a</v>
          </cell>
          <cell r="S14">
            <v>0.92582860166829961</v>
          </cell>
          <cell r="T14">
            <v>0.88780731709564475</v>
          </cell>
          <cell r="U14">
            <v>0.80882744860841471</v>
          </cell>
          <cell r="V14">
            <v>0</v>
          </cell>
          <cell r="W14">
            <v>0</v>
          </cell>
          <cell r="X14">
            <v>0</v>
          </cell>
          <cell r="Y14">
            <v>1</v>
          </cell>
          <cell r="Z14">
            <v>1</v>
          </cell>
          <cell r="AA14">
            <v>1</v>
          </cell>
          <cell r="AE14">
            <v>0</v>
          </cell>
          <cell r="AF14">
            <v>0</v>
          </cell>
          <cell r="AG14">
            <v>0</v>
          </cell>
          <cell r="AH14">
            <v>0.92582860166829961</v>
          </cell>
          <cell r="AI14">
            <v>0.88780731709564475</v>
          </cell>
          <cell r="AJ14">
            <v>0.80882744860841471</v>
          </cell>
          <cell r="AO14" t="str">
            <v>No</v>
          </cell>
        </row>
        <row r="15">
          <cell r="C15" t="str">
            <v>UGI</v>
          </cell>
          <cell r="E15" t="str">
            <v>NR</v>
          </cell>
          <cell r="F15" t="str">
            <v>Yes</v>
          </cell>
          <cell r="G15" t="str">
            <v>Yes</v>
          </cell>
          <cell r="H15">
            <v>1.05</v>
          </cell>
          <cell r="I15">
            <v>0.97070487743034306</v>
          </cell>
          <cell r="J15">
            <v>1.0103524387151714</v>
          </cell>
          <cell r="K15" t="str">
            <v>Yes</v>
          </cell>
          <cell r="L15" t="str">
            <v>No</v>
          </cell>
          <cell r="M15">
            <v>0</v>
          </cell>
          <cell r="N15" t="str">
            <v>n/a</v>
          </cell>
          <cell r="O15" t="str">
            <v>n/a</v>
          </cell>
          <cell r="P15" t="str">
            <v>n/a</v>
          </cell>
          <cell r="Q15">
            <v>0</v>
          </cell>
          <cell r="R15" t="str">
            <v>n/a</v>
          </cell>
          <cell r="S15">
            <v>0.14535928210029866</v>
          </cell>
          <cell r="T15">
            <v>0.21610609738577227</v>
          </cell>
          <cell r="U15">
            <v>0.28918614314433005</v>
          </cell>
          <cell r="V15">
            <v>0</v>
          </cell>
          <cell r="W15">
            <v>0</v>
          </cell>
          <cell r="X15">
            <v>0</v>
          </cell>
          <cell r="Y15">
            <v>1</v>
          </cell>
          <cell r="Z15">
            <v>1</v>
          </cell>
          <cell r="AA15">
            <v>1</v>
          </cell>
          <cell r="AE15">
            <v>0</v>
          </cell>
          <cell r="AF15">
            <v>0</v>
          </cell>
          <cell r="AG15">
            <v>0</v>
          </cell>
          <cell r="AH15">
            <v>0.14535928210029866</v>
          </cell>
          <cell r="AI15">
            <v>0.21610609738577227</v>
          </cell>
          <cell r="AJ15">
            <v>0.28918614314433005</v>
          </cell>
          <cell r="AO15" t="str">
            <v>Yes</v>
          </cell>
        </row>
        <row r="16">
          <cell r="C16" t="str">
            <v>ALE</v>
          </cell>
          <cell r="E16" t="str">
            <v>BBB</v>
          </cell>
          <cell r="F16" t="str">
            <v>Yes</v>
          </cell>
          <cell r="G16" t="str">
            <v>Yes</v>
          </cell>
          <cell r="H16">
            <v>0.9</v>
          </cell>
          <cell r="I16">
            <v>0.90234694706987251</v>
          </cell>
          <cell r="J16">
            <v>0.90117347353493626</v>
          </cell>
          <cell r="K16" t="str">
            <v>Yes</v>
          </cell>
          <cell r="L16" t="str">
            <v>Yes</v>
          </cell>
          <cell r="M16">
            <v>5.3738174324784227E-2</v>
          </cell>
          <cell r="N16">
            <v>0.49917389890228747</v>
          </cell>
          <cell r="O16">
            <v>0</v>
          </cell>
          <cell r="P16">
            <v>7.5109811444569421E-2</v>
          </cell>
          <cell r="Q16">
            <v>0.37197811532835895</v>
          </cell>
          <cell r="R16">
            <v>1</v>
          </cell>
          <cell r="S16">
            <v>0.83714865361460677</v>
          </cell>
          <cell r="T16">
            <v>0.96382372578073461</v>
          </cell>
          <cell r="U16">
            <v>0.66106638760710312</v>
          </cell>
          <cell r="V16">
            <v>0.97614536924059303</v>
          </cell>
          <cell r="W16">
            <v>0.97763700825619193</v>
          </cell>
          <cell r="X16">
            <v>0.98235871783487427</v>
          </cell>
          <cell r="Y16">
            <v>1.5006996986246468E-2</v>
          </cell>
          <cell r="Z16">
            <v>3.9385449567283983E-3</v>
          </cell>
          <cell r="AA16">
            <v>5.6848453128697249E-3</v>
          </cell>
          <cell r="AE16">
            <v>0.81721137255026621</v>
          </cell>
          <cell r="AF16">
            <v>0.94232406390495094</v>
          </cell>
          <cell r="AG16">
            <v>0.6494106387684272</v>
          </cell>
          <cell r="AH16">
            <v>1.2916669795482521E-2</v>
          </cell>
          <cell r="AI16">
            <v>3.8079582028339547E-3</v>
          </cell>
          <cell r="AJ16">
            <v>3.7532075437776836E-3</v>
          </cell>
          <cell r="AO16" t="str">
            <v>No</v>
          </cell>
        </row>
        <row r="17">
          <cell r="C17" t="str">
            <v>LNT</v>
          </cell>
          <cell r="E17" t="str">
            <v>A-</v>
          </cell>
          <cell r="F17" t="str">
            <v>Yes</v>
          </cell>
          <cell r="G17" t="str">
            <v>Yes</v>
          </cell>
          <cell r="H17">
            <v>0.85</v>
          </cell>
          <cell r="I17">
            <v>0.86963858096311664</v>
          </cell>
          <cell r="J17">
            <v>0.85981929048155825</v>
          </cell>
          <cell r="K17" t="str">
            <v>Yes</v>
          </cell>
          <cell r="L17" t="str">
            <v>Yes</v>
          </cell>
          <cell r="M17">
            <v>0.50758459597975558</v>
          </cell>
          <cell r="N17">
            <v>0.3226598384372128</v>
          </cell>
          <cell r="O17">
            <v>0</v>
          </cell>
          <cell r="P17">
            <v>8.4280628020117297E-3</v>
          </cell>
          <cell r="Q17">
            <v>0.16132750278101982</v>
          </cell>
          <cell r="R17">
            <v>0.99999999999999989</v>
          </cell>
          <cell r="S17">
            <v>0.9778662469174616</v>
          </cell>
          <cell r="T17">
            <v>0.96960694021933447</v>
          </cell>
          <cell r="U17">
            <v>0.96347091010722108</v>
          </cell>
          <cell r="V17">
            <v>0.85495270902838805</v>
          </cell>
          <cell r="W17">
            <v>0.90661304061167858</v>
          </cell>
          <cell r="X17">
            <v>0.85935697792700017</v>
          </cell>
          <cell r="Y17">
            <v>0.12644934454465084</v>
          </cell>
          <cell r="Z17">
            <v>9.7521841916417176E-2</v>
          </cell>
          <cell r="AA17">
            <v>8.4923083889852369E-2</v>
          </cell>
          <cell r="AE17">
            <v>0.83603152547060056</v>
          </cell>
          <cell r="AF17">
            <v>0.87900158209608437</v>
          </cell>
          <cell r="AG17">
            <v>0.82814925836234499</v>
          </cell>
          <cell r="AH17">
            <v>0.12871732337110295</v>
          </cell>
          <cell r="AI17">
            <v>9.459038169594447E-2</v>
          </cell>
          <cell r="AJ17">
            <v>8.1832364991041656E-2</v>
          </cell>
          <cell r="AO17" t="str">
            <v>No</v>
          </cell>
        </row>
        <row r="18">
          <cell r="C18" t="str">
            <v>AEE</v>
          </cell>
          <cell r="E18" t="str">
            <v>BBB+</v>
          </cell>
          <cell r="F18" t="str">
            <v>Yes</v>
          </cell>
          <cell r="G18" t="str">
            <v>Yes</v>
          </cell>
          <cell r="H18">
            <v>0.85</v>
          </cell>
          <cell r="I18">
            <v>0.83071850830357019</v>
          </cell>
          <cell r="J18">
            <v>0.84035925415178503</v>
          </cell>
          <cell r="K18" t="str">
            <v>Yes</v>
          </cell>
          <cell r="L18" t="str">
            <v>Yes</v>
          </cell>
          <cell r="M18">
            <v>0.31357880030645813</v>
          </cell>
          <cell r="N18">
            <v>0.49970706205777637</v>
          </cell>
          <cell r="O18">
            <v>0.11140655279643066</v>
          </cell>
          <cell r="P18">
            <v>7.3549957185993053E-2</v>
          </cell>
          <cell r="Q18">
            <v>1.757627653341746E-3</v>
          </cell>
          <cell r="R18">
            <v>1</v>
          </cell>
          <cell r="S18">
            <v>1</v>
          </cell>
          <cell r="T18">
            <v>1</v>
          </cell>
          <cell r="U18">
            <v>0.92620516814242626</v>
          </cell>
          <cell r="V18">
            <v>0.86201683088415193</v>
          </cell>
          <cell r="W18">
            <v>0.84572446261288936</v>
          </cell>
          <cell r="X18">
            <v>0.8839415088976752</v>
          </cell>
          <cell r="Y18">
            <v>0.15649466610837851</v>
          </cell>
          <cell r="Z18">
            <v>0.15427553738711064</v>
          </cell>
          <cell r="AA18">
            <v>0.11642496977675466</v>
          </cell>
          <cell r="AE18">
            <v>0.86201683088415193</v>
          </cell>
          <cell r="AF18">
            <v>0.84572446261288936</v>
          </cell>
          <cell r="AG18">
            <v>0.81871081758898356</v>
          </cell>
          <cell r="AH18">
            <v>0.15547044908752414</v>
          </cell>
          <cell r="AI18">
            <v>0.15427553738711064</v>
          </cell>
          <cell r="AJ18">
            <v>0.10783283246336524</v>
          </cell>
          <cell r="AO18" t="str">
            <v>No</v>
          </cell>
        </row>
        <row r="19">
          <cell r="C19" t="str">
            <v>AEP</v>
          </cell>
          <cell r="E19" t="str">
            <v>A-</v>
          </cell>
          <cell r="F19" t="str">
            <v>Yes</v>
          </cell>
          <cell r="G19" t="str">
            <v>Yes</v>
          </cell>
          <cell r="H19">
            <v>0.75</v>
          </cell>
          <cell r="I19">
            <v>0.82501256668841783</v>
          </cell>
          <cell r="J19">
            <v>0.78750628334420891</v>
          </cell>
          <cell r="K19" t="str">
            <v>Yes</v>
          </cell>
          <cell r="L19" t="str">
            <v>Yes</v>
          </cell>
          <cell r="M19">
            <v>0.34842671058194807</v>
          </cell>
          <cell r="N19">
            <v>0.51916436335255278</v>
          </cell>
          <cell r="O19">
            <v>9.5282895368084139E-2</v>
          </cell>
          <cell r="P19">
            <v>3.6126355017302138E-2</v>
          </cell>
          <cell r="Q19">
            <v>9.9967568011291065E-4</v>
          </cell>
          <cell r="R19">
            <v>1</v>
          </cell>
          <cell r="S19">
            <v>0.95706846938091272</v>
          </cell>
          <cell r="T19">
            <v>0.98263940729265631</v>
          </cell>
          <cell r="U19">
            <v>0.93529289634379331</v>
          </cell>
          <cell r="V19">
            <v>1</v>
          </cell>
          <cell r="W19">
            <v>1</v>
          </cell>
          <cell r="X19">
            <v>1</v>
          </cell>
          <cell r="Y19">
            <v>0</v>
          </cell>
          <cell r="Z19">
            <v>0</v>
          </cell>
          <cell r="AA19">
            <v>0</v>
          </cell>
          <cell r="AE19">
            <v>0.95706846938091272</v>
          </cell>
          <cell r="AF19">
            <v>0.98263940729265631</v>
          </cell>
          <cell r="AG19">
            <v>0.93529289634379331</v>
          </cell>
          <cell r="AH19">
            <v>0</v>
          </cell>
          <cell r="AI19">
            <v>0</v>
          </cell>
          <cell r="AJ19">
            <v>0</v>
          </cell>
          <cell r="AO19" t="str">
            <v>No</v>
          </cell>
        </row>
        <row r="20">
          <cell r="C20" t="str">
            <v>AGR</v>
          </cell>
          <cell r="E20" t="str">
            <v>BBB+</v>
          </cell>
          <cell r="F20" t="str">
            <v>Yes</v>
          </cell>
          <cell r="G20" t="str">
            <v>Yes</v>
          </cell>
          <cell r="H20">
            <v>0.85</v>
          </cell>
          <cell r="I20">
            <v>0.7440132697796682</v>
          </cell>
          <cell r="J20">
            <v>0.79700663488983414</v>
          </cell>
          <cell r="K20" t="str">
            <v>Yes</v>
          </cell>
          <cell r="L20" t="str">
            <v>Yes</v>
          </cell>
          <cell r="M20">
            <v>0.65923470924977412</v>
          </cell>
          <cell r="N20">
            <v>0</v>
          </cell>
          <cell r="O20">
            <v>0</v>
          </cell>
          <cell r="P20">
            <v>0.30400723109370292</v>
          </cell>
          <cell r="Q20">
            <v>3.6758059656523054E-2</v>
          </cell>
          <cell r="R20">
            <v>1.0000000000000002</v>
          </cell>
          <cell r="S20">
            <v>0.8339798314751331</v>
          </cell>
          <cell r="T20">
            <v>0.99292364990689019</v>
          </cell>
          <cell r="U20">
            <v>0.66481044548368995</v>
          </cell>
          <cell r="V20">
            <v>0.76449172966294332</v>
          </cell>
          <cell r="W20">
            <v>0.78780246111053875</v>
          </cell>
          <cell r="X20">
            <v>0.89059024574122148</v>
          </cell>
          <cell r="Y20">
            <v>0.22958373151096687</v>
          </cell>
          <cell r="Z20">
            <v>0.21219753888946127</v>
          </cell>
          <cell r="AA20">
            <v>0.10940975425877857</v>
          </cell>
          <cell r="AE20">
            <v>0.63831908528723991</v>
          </cell>
          <cell r="AF20">
            <v>0.78251431742195943</v>
          </cell>
          <cell r="AG20">
            <v>0.59208629715113825</v>
          </cell>
          <cell r="AH20">
            <v>0.19566074618789317</v>
          </cell>
          <cell r="AI20">
            <v>0.21040933248493057</v>
          </cell>
          <cell r="AJ20">
            <v>7.2724148332551738E-2</v>
          </cell>
          <cell r="AO20" t="str">
            <v>Yes</v>
          </cell>
        </row>
        <row r="21">
          <cell r="C21" t="str">
            <v>AVA</v>
          </cell>
          <cell r="E21" t="str">
            <v>BBB</v>
          </cell>
          <cell r="F21" t="str">
            <v>Yes</v>
          </cell>
          <cell r="G21" t="str">
            <v>Yes</v>
          </cell>
          <cell r="H21">
            <v>0.9</v>
          </cell>
          <cell r="I21">
            <v>0.81804448046405209</v>
          </cell>
          <cell r="J21">
            <v>0.859022240232026</v>
          </cell>
          <cell r="K21" t="str">
            <v>Yes</v>
          </cell>
          <cell r="L21" t="str">
            <v>Yes</v>
          </cell>
          <cell r="M21">
            <v>0.33603696843758823</v>
          </cell>
          <cell r="N21">
            <v>0.104120283168903</v>
          </cell>
          <cell r="O21">
            <v>0</v>
          </cell>
          <cell r="P21">
            <v>0.53550175933292155</v>
          </cell>
          <cell r="Q21">
            <v>2.4340989060587341E-2</v>
          </cell>
          <cell r="R21">
            <v>1</v>
          </cell>
          <cell r="S21">
            <v>0.99932663680119393</v>
          </cell>
          <cell r="T21">
            <v>1</v>
          </cell>
          <cell r="U21">
            <v>0.98064222296800485</v>
          </cell>
          <cell r="V21">
            <v>0.68682256809296705</v>
          </cell>
          <cell r="W21">
            <v>0.73853993198748702</v>
          </cell>
          <cell r="X21">
            <v>0.76392637168535982</v>
          </cell>
          <cell r="Y21">
            <v>0.31302536504310535</v>
          </cell>
          <cell r="Z21">
            <v>0.26146006801251309</v>
          </cell>
          <cell r="AA21">
            <v>0.23607362831464027</v>
          </cell>
          <cell r="AE21">
            <v>0.68635836255408567</v>
          </cell>
          <cell r="AF21">
            <v>0.73853993198748702</v>
          </cell>
          <cell r="AG21">
            <v>0.74914487216219872</v>
          </cell>
          <cell r="AH21">
            <v>0.31296827424710827</v>
          </cell>
          <cell r="AI21">
            <v>0.26146006801251309</v>
          </cell>
          <cell r="AJ21">
            <v>0.23149735080580602</v>
          </cell>
          <cell r="AO21" t="str">
            <v>No</v>
          </cell>
        </row>
        <row r="22">
          <cell r="C22" t="str">
            <v>BKH</v>
          </cell>
          <cell r="E22" t="str">
            <v>BBB+</v>
          </cell>
          <cell r="F22" t="str">
            <v>Yes</v>
          </cell>
          <cell r="G22" t="str">
            <v>Yes</v>
          </cell>
          <cell r="H22">
            <v>1</v>
          </cell>
          <cell r="I22">
            <v>0.9873836858301781</v>
          </cell>
          <cell r="J22">
            <v>0.99369184291508905</v>
          </cell>
          <cell r="K22" t="str">
            <v>Yes</v>
          </cell>
          <cell r="L22" t="str">
            <v>Yes</v>
          </cell>
          <cell r="M22">
            <v>0.46859939200711798</v>
          </cell>
          <cell r="N22">
            <v>0.53140060799288202</v>
          </cell>
          <cell r="O22">
            <v>0</v>
          </cell>
          <cell r="P22">
            <v>0</v>
          </cell>
          <cell r="Q22">
            <v>0</v>
          </cell>
          <cell r="R22">
            <v>1</v>
          </cell>
          <cell r="S22">
            <v>0.99838395481437869</v>
          </cell>
          <cell r="T22">
            <v>0.98878479096409233</v>
          </cell>
          <cell r="U22">
            <v>0.96855454933522556</v>
          </cell>
          <cell r="V22">
            <v>0.40045332873394796</v>
          </cell>
          <cell r="W22">
            <v>0.45890154090485785</v>
          </cell>
          <cell r="X22">
            <v>0.41647783446602088</v>
          </cell>
          <cell r="Y22">
            <v>0.6013248160351411</v>
          </cell>
          <cell r="Z22">
            <v>0.5410984590951422</v>
          </cell>
          <cell r="AA22">
            <v>0.58352216553397918</v>
          </cell>
          <cell r="AE22">
            <v>0.39977001150644714</v>
          </cell>
          <cell r="AF22">
            <v>0.45419602220822997</v>
          </cell>
          <cell r="AG22">
            <v>0.4033874490645693</v>
          </cell>
          <cell r="AH22">
            <v>0.59861394330793161</v>
          </cell>
          <cell r="AI22">
            <v>0.53458876875586248</v>
          </cell>
          <cell r="AJ22">
            <v>0.56516710027065631</v>
          </cell>
          <cell r="AO22" t="str">
            <v>No</v>
          </cell>
        </row>
        <row r="23">
          <cell r="C23" t="str">
            <v>CNP</v>
          </cell>
          <cell r="E23" t="str">
            <v>BBB+</v>
          </cell>
          <cell r="F23" t="str">
            <v>Yes</v>
          </cell>
          <cell r="G23" t="str">
            <v>Yes</v>
          </cell>
          <cell r="H23">
            <v>1.1000000000000001</v>
          </cell>
          <cell r="I23">
            <v>1.0874810321003419</v>
          </cell>
          <cell r="J23">
            <v>1.093740516050171</v>
          </cell>
          <cell r="K23" t="str">
            <v>Yes</v>
          </cell>
          <cell r="L23" t="str">
            <v>Yes</v>
          </cell>
          <cell r="M23">
            <v>0.1936108464223622</v>
          </cell>
          <cell r="N23">
            <v>0.801568321257081</v>
          </cell>
          <cell r="O23">
            <v>0</v>
          </cell>
          <cell r="P23">
            <v>0</v>
          </cell>
          <cell r="Q23">
            <v>4.8208323205568091E-3</v>
          </cell>
          <cell r="R23">
            <v>1</v>
          </cell>
          <cell r="S23">
            <v>1</v>
          </cell>
          <cell r="T23">
            <v>1</v>
          </cell>
          <cell r="U23">
            <v>0.90522745170424923</v>
          </cell>
          <cell r="V23">
            <v>0.46900364755445012</v>
          </cell>
          <cell r="W23">
            <v>0.54509695607343278</v>
          </cell>
          <cell r="X23">
            <v>0.50286237676387957</v>
          </cell>
          <cell r="Y23">
            <v>0.52298358373441456</v>
          </cell>
          <cell r="Z23">
            <v>0.45490304392656727</v>
          </cell>
          <cell r="AA23">
            <v>0.49713762323612043</v>
          </cell>
          <cell r="AE23">
            <v>0.46900364755445012</v>
          </cell>
          <cell r="AF23">
            <v>0.54509695607343278</v>
          </cell>
          <cell r="AG23">
            <v>0.4554708936261645</v>
          </cell>
          <cell r="AH23">
            <v>0.53099635244554999</v>
          </cell>
          <cell r="AI23">
            <v>0.45490304392656727</v>
          </cell>
          <cell r="AJ23">
            <v>0.44975655807808473</v>
          </cell>
          <cell r="AO23" t="str">
            <v>No</v>
          </cell>
        </row>
        <row r="24">
          <cell r="C24" t="str">
            <v>CMS</v>
          </cell>
          <cell r="E24" t="str">
            <v>BBB+</v>
          </cell>
          <cell r="F24" t="str">
            <v>Yes</v>
          </cell>
          <cell r="G24" t="str">
            <v>Yes</v>
          </cell>
          <cell r="H24">
            <v>0.8</v>
          </cell>
          <cell r="I24">
            <v>0.82567047562433249</v>
          </cell>
          <cell r="J24">
            <v>0.81283523781216627</v>
          </cell>
          <cell r="K24" t="str">
            <v>Yes</v>
          </cell>
          <cell r="L24" t="str">
            <v>Yes</v>
          </cell>
          <cell r="M24">
            <v>0.52937937303836258</v>
          </cell>
          <cell r="N24">
            <v>0.23175404319262818</v>
          </cell>
          <cell r="O24">
            <v>0</v>
          </cell>
          <cell r="P24">
            <v>0.19594945364481611</v>
          </cell>
          <cell r="Q24">
            <v>4.2917130124193181E-2</v>
          </cell>
          <cell r="R24">
            <v>1</v>
          </cell>
          <cell r="S24">
            <v>0.95684200178646384</v>
          </cell>
          <cell r="T24">
            <v>0.87766384109696105</v>
          </cell>
          <cell r="U24">
            <v>0.91568846333304721</v>
          </cell>
          <cell r="V24">
            <v>0.69246940695876791</v>
          </cell>
          <cell r="W24">
            <v>0.65796085006517724</v>
          </cell>
          <cell r="X24">
            <v>0.58595685094252203</v>
          </cell>
          <cell r="Y24">
            <v>0.3074481284038138</v>
          </cell>
          <cell r="Z24">
            <v>0.34203914993482276</v>
          </cell>
          <cell r="AA24">
            <v>0.41404314905747791</v>
          </cell>
          <cell r="AE24">
            <v>0.66270308192109184</v>
          </cell>
          <cell r="AF24">
            <v>0.5763949610194995</v>
          </cell>
          <cell r="AG24">
            <v>0.53499116921322065</v>
          </cell>
          <cell r="AH24">
            <v>0.29413891986537194</v>
          </cell>
          <cell r="AI24">
            <v>0.30126888007746172</v>
          </cell>
          <cell r="AJ24">
            <v>0.38069729411982656</v>
          </cell>
          <cell r="AO24" t="str">
            <v>No</v>
          </cell>
        </row>
        <row r="25">
          <cell r="C25" t="str">
            <v>ED</v>
          </cell>
          <cell r="E25" t="str">
            <v>A-</v>
          </cell>
          <cell r="F25" t="str">
            <v>Yes</v>
          </cell>
          <cell r="G25" t="str">
            <v>Yes</v>
          </cell>
          <cell r="H25">
            <v>0.8</v>
          </cell>
          <cell r="I25">
            <v>0.70238489812785798</v>
          </cell>
          <cell r="J25">
            <v>0.75119244906392901</v>
          </cell>
          <cell r="K25" t="str">
            <v>Yes</v>
          </cell>
          <cell r="L25" t="str">
            <v>Yes</v>
          </cell>
          <cell r="M25">
            <v>1</v>
          </cell>
          <cell r="N25">
            <v>0</v>
          </cell>
          <cell r="O25">
            <v>0</v>
          </cell>
          <cell r="P25">
            <v>0</v>
          </cell>
          <cell r="Q25">
            <v>0</v>
          </cell>
          <cell r="R25">
            <v>1</v>
          </cell>
          <cell r="S25">
            <v>0.92708701492956325</v>
          </cell>
          <cell r="T25">
            <v>0.90493728631556836</v>
          </cell>
          <cell r="U25">
            <v>0.87699355474165952</v>
          </cell>
          <cell r="V25">
            <v>0.74716092781222498</v>
          </cell>
          <cell r="W25">
            <v>0.72455949246365137</v>
          </cell>
          <cell r="X25">
            <v>0.68730731945202672</v>
          </cell>
          <cell r="Y25">
            <v>0.20658606844664865</v>
          </cell>
          <cell r="Z25">
            <v>0.27631194905523393</v>
          </cell>
          <cell r="AA25">
            <v>0.26480944132498896</v>
          </cell>
          <cell r="AE25">
            <v>0.69278264439537185</v>
          </cell>
          <cell r="AF25">
            <v>0.65616882009427224</v>
          </cell>
          <cell r="AG25">
            <v>0.6026980758648276</v>
          </cell>
          <cell r="AH25">
            <v>0.1948956343466508</v>
          </cell>
          <cell r="AI25">
            <v>0.24939273806224016</v>
          </cell>
          <cell r="AJ25">
            <v>0.23230545660144189</v>
          </cell>
          <cell r="AO25" t="str">
            <v>Yes</v>
          </cell>
        </row>
        <row r="26">
          <cell r="C26" t="str">
            <v>D</v>
          </cell>
          <cell r="E26" t="str">
            <v>BBB+</v>
          </cell>
          <cell r="F26" t="str">
            <v>Yes</v>
          </cell>
          <cell r="G26" t="str">
            <v>Yes</v>
          </cell>
          <cell r="H26">
            <v>0.85</v>
          </cell>
          <cell r="I26">
            <v>0.74932300776205452</v>
          </cell>
          <cell r="J26">
            <v>0.7996615038810273</v>
          </cell>
          <cell r="K26" t="str">
            <v>Yes</v>
          </cell>
          <cell r="L26" t="str">
            <v>Yes</v>
          </cell>
          <cell r="M26">
            <v>0.49761109747343057</v>
          </cell>
          <cell r="N26">
            <v>0.16967022659036177</v>
          </cell>
          <cell r="O26">
            <v>0.21466490815825481</v>
          </cell>
          <cell r="P26">
            <v>0.10194145257258132</v>
          </cell>
          <cell r="Q26">
            <v>1.61123152053715E-2</v>
          </cell>
          <cell r="R26">
            <v>1</v>
          </cell>
          <cell r="S26">
            <v>0.9773003057536771</v>
          </cell>
          <cell r="T26">
            <v>1</v>
          </cell>
          <cell r="U26">
            <v>0.95073433556148768</v>
          </cell>
          <cell r="V26">
            <v>0.8167931595386525</v>
          </cell>
          <cell r="W26">
            <v>0.82606001215681013</v>
          </cell>
          <cell r="X26">
            <v>0.80643630717974124</v>
          </cell>
          <cell r="Y26">
            <v>0.17893867928311299</v>
          </cell>
          <cell r="Z26">
            <v>0.1739399878431899</v>
          </cell>
          <cell r="AA26">
            <v>0.19356369282025873</v>
          </cell>
          <cell r="AE26">
            <v>0.79802857812227568</v>
          </cell>
          <cell r="AF26">
            <v>0.82606001215681013</v>
          </cell>
          <cell r="AG26">
            <v>0.76668316212698551</v>
          </cell>
          <cell r="AH26">
            <v>0.17927172763140167</v>
          </cell>
          <cell r="AI26">
            <v>0.1739399878431899</v>
          </cell>
          <cell r="AJ26">
            <v>0.18405117343450217</v>
          </cell>
          <cell r="AO26" t="str">
            <v>Yes</v>
          </cell>
        </row>
        <row r="27">
          <cell r="C27" t="str">
            <v>DTE</v>
          </cell>
          <cell r="E27" t="str">
            <v>BBB+</v>
          </cell>
          <cell r="F27" t="str">
            <v>No</v>
          </cell>
          <cell r="G27" t="str">
            <v>Yes</v>
          </cell>
          <cell r="H27">
            <v>0.95</v>
          </cell>
          <cell r="I27">
            <v>0.91124118232032203</v>
          </cell>
          <cell r="J27">
            <v>0.93062059116016105</v>
          </cell>
          <cell r="K27" t="str">
            <v>Yes</v>
          </cell>
          <cell r="L27" t="str">
            <v>Yes</v>
          </cell>
          <cell r="M27">
            <v>0.27642729595736454</v>
          </cell>
          <cell r="N27">
            <v>0.50700682553066345</v>
          </cell>
          <cell r="O27">
            <v>9.7785524255484521E-2</v>
          </cell>
          <cell r="P27">
            <v>8.5801112329289095E-2</v>
          </cell>
          <cell r="Q27">
            <v>3.297924192719856E-2</v>
          </cell>
          <cell r="R27">
            <v>1.0000000000000002</v>
          </cell>
          <cell r="S27">
            <v>0.51111267669527127</v>
          </cell>
          <cell r="T27">
            <v>1</v>
          </cell>
          <cell r="U27">
            <v>0.83122761248411148</v>
          </cell>
          <cell r="V27">
            <v>0.78488877681726132</v>
          </cell>
          <cell r="W27">
            <v>0.78034896487086136</v>
          </cell>
          <cell r="X27">
            <v>0.80740803144759443</v>
          </cell>
          <cell r="Y27">
            <v>0.21288384717178935</v>
          </cell>
          <cell r="Z27">
            <v>0.21965103512913875</v>
          </cell>
          <cell r="AA27">
            <v>0.19259196855240557</v>
          </cell>
          <cell r="AE27">
            <v>0.40190262154101247</v>
          </cell>
          <cell r="AF27">
            <v>0.78034896487086136</v>
          </cell>
          <cell r="AG27">
            <v>0.6711388294995827</v>
          </cell>
          <cell r="AH27">
            <v>0.10921005515425881</v>
          </cell>
          <cell r="AI27">
            <v>0.21965103512913875</v>
          </cell>
          <cell r="AJ27">
            <v>0.16008878298452878</v>
          </cell>
          <cell r="AO27" t="str">
            <v>No</v>
          </cell>
        </row>
        <row r="28">
          <cell r="C28" t="str">
            <v>DUK</v>
          </cell>
          <cell r="E28" t="str">
            <v>BBB+</v>
          </cell>
          <cell r="F28" t="str">
            <v>Yes</v>
          </cell>
          <cell r="G28" t="str">
            <v>Yes</v>
          </cell>
          <cell r="H28">
            <v>0.85</v>
          </cell>
          <cell r="I28">
            <v>0.80695999326811763</v>
          </cell>
          <cell r="J28">
            <v>0.8284799966340588</v>
          </cell>
          <cell r="K28" t="str">
            <v>Yes</v>
          </cell>
          <cell r="L28" t="str">
            <v>Yes</v>
          </cell>
          <cell r="M28">
            <v>0.48358102770780192</v>
          </cell>
          <cell r="N28">
            <v>0.2795445269147756</v>
          </cell>
          <cell r="O28">
            <v>0.16658240078272329</v>
          </cell>
          <cell r="P28">
            <v>6.3883660827462274E-2</v>
          </cell>
          <cell r="Q28">
            <v>6.4083837672369876E-3</v>
          </cell>
          <cell r="R28">
            <v>0.99999999999999989</v>
          </cell>
          <cell r="S28">
            <v>1.0038400791102113</v>
          </cell>
          <cell r="T28">
            <v>0.93890685919737393</v>
          </cell>
          <cell r="U28">
            <v>0.98946153872136</v>
          </cell>
          <cell r="V28">
            <v>0.91388965229417529</v>
          </cell>
          <cell r="W28">
            <v>0.90252674908428487</v>
          </cell>
          <cell r="X28">
            <v>0.90536436730859571</v>
          </cell>
          <cell r="Y28">
            <v>8.245375659592008E-2</v>
          </cell>
          <cell r="Z28">
            <v>9.747325091571514E-2</v>
          </cell>
          <cell r="AA28">
            <v>9.4635632691404223E-2</v>
          </cell>
          <cell r="AE28">
            <v>0.91740315092021563</v>
          </cell>
          <cell r="AF28">
            <v>0.84729095864369042</v>
          </cell>
          <cell r="AG28">
            <v>0.89580237296591314</v>
          </cell>
          <cell r="AH28">
            <v>8.6436928189995557E-2</v>
          </cell>
          <cell r="AI28">
            <v>9.1615900553683474E-2</v>
          </cell>
          <cell r="AJ28">
            <v>9.3659165755446805E-2</v>
          </cell>
          <cell r="AO28" t="str">
            <v>No</v>
          </cell>
        </row>
        <row r="29">
          <cell r="C29" t="str">
            <v>EIX</v>
          </cell>
          <cell r="E29" t="str">
            <v>BBB</v>
          </cell>
          <cell r="F29" t="str">
            <v>Yes</v>
          </cell>
          <cell r="G29" t="str">
            <v>Yes</v>
          </cell>
          <cell r="H29">
            <v>1</v>
          </cell>
          <cell r="I29">
            <v>0.94435253895916127</v>
          </cell>
          <cell r="J29">
            <v>0.97217626947958058</v>
          </cell>
          <cell r="K29" t="str">
            <v>Yes</v>
          </cell>
          <cell r="L29" t="str">
            <v>Yes</v>
          </cell>
          <cell r="M29">
            <v>0.42163140629559742</v>
          </cell>
          <cell r="N29">
            <v>0</v>
          </cell>
          <cell r="O29">
            <v>0.1951060155585321</v>
          </cell>
          <cell r="P29">
            <v>0.34834256410382958</v>
          </cell>
          <cell r="Q29">
            <v>3.4920014042040988E-2</v>
          </cell>
          <cell r="R29">
            <v>1</v>
          </cell>
          <cell r="S29">
            <v>0.99759198366728141</v>
          </cell>
          <cell r="T29">
            <v>0.98931799506984397</v>
          </cell>
          <cell r="U29">
            <v>0.99866363024585159</v>
          </cell>
          <cell r="V29">
            <v>1</v>
          </cell>
          <cell r="W29">
            <v>1</v>
          </cell>
          <cell r="X29">
            <v>1</v>
          </cell>
          <cell r="Y29">
            <v>0</v>
          </cell>
          <cell r="Z29">
            <v>0</v>
          </cell>
          <cell r="AA29">
            <v>0</v>
          </cell>
          <cell r="AE29">
            <v>0.99759198366728141</v>
          </cell>
          <cell r="AF29">
            <v>0.98931799506984397</v>
          </cell>
          <cell r="AG29">
            <v>0.99866363024585159</v>
          </cell>
          <cell r="AH29">
            <v>0</v>
          </cell>
          <cell r="AI29">
            <v>0</v>
          </cell>
          <cell r="AJ29">
            <v>0</v>
          </cell>
          <cell r="AO29" t="str">
            <v>No</v>
          </cell>
        </row>
        <row r="30">
          <cell r="C30" t="str">
            <v>ETR</v>
          </cell>
          <cell r="E30" t="str">
            <v>BBB+</v>
          </cell>
          <cell r="F30" t="str">
            <v>Yes</v>
          </cell>
          <cell r="G30" t="str">
            <v>Yes</v>
          </cell>
          <cell r="H30">
            <v>0.9</v>
          </cell>
          <cell r="I30">
            <v>0.94299122221189335</v>
          </cell>
          <cell r="J30">
            <v>0.92149561110594669</v>
          </cell>
          <cell r="K30" t="str">
            <v>Yes</v>
          </cell>
          <cell r="L30" t="str">
            <v>Yes</v>
          </cell>
          <cell r="M30">
            <v>0.68259209611458815</v>
          </cell>
          <cell r="N30">
            <v>0.130656261060621</v>
          </cell>
          <cell r="O30">
            <v>0.18343481473787127</v>
          </cell>
          <cell r="P30">
            <v>3.2663645890550043E-3</v>
          </cell>
          <cell r="Q30">
            <v>5.0463497864613835E-5</v>
          </cell>
          <cell r="R30">
            <v>1</v>
          </cell>
          <cell r="S30">
            <v>0.94078568376487126</v>
          </cell>
          <cell r="T30">
            <v>0.98610613472083752</v>
          </cell>
          <cell r="U30">
            <v>1.0043592117519797</v>
          </cell>
          <cell r="V30">
            <v>0.98499617560639752</v>
          </cell>
          <cell r="W30">
            <v>0.99461878333957054</v>
          </cell>
          <cell r="X30">
            <v>0.98996340829910545</v>
          </cell>
          <cell r="Y30">
            <v>1.4369951906674311E-2</v>
          </cell>
          <cell r="Z30">
            <v>5.3812166604294163E-3</v>
          </cell>
          <cell r="AA30">
            <v>1.0036591700894661E-2</v>
          </cell>
          <cell r="AE30">
            <v>0.92662653477938772</v>
          </cell>
          <cell r="AF30">
            <v>0.98083840077884632</v>
          </cell>
          <cell r="AG30">
            <v>0.99427074324358433</v>
          </cell>
          <cell r="AH30">
            <v>1.4159148985483561E-2</v>
          </cell>
          <cell r="AI30">
            <v>5.2677339419912707E-3</v>
          </cell>
          <cell r="AJ30">
            <v>1.008846850839544E-2</v>
          </cell>
          <cell r="AO30" t="str">
            <v>No</v>
          </cell>
        </row>
        <row r="31">
          <cell r="C31" t="str">
            <v>ES</v>
          </cell>
          <cell r="E31" t="str">
            <v>A-</v>
          </cell>
          <cell r="F31" t="str">
            <v>Yes</v>
          </cell>
          <cell r="G31" t="str">
            <v>Yes</v>
          </cell>
          <cell r="H31">
            <v>0.9</v>
          </cell>
          <cell r="I31">
            <v>0.87994218886348918</v>
          </cell>
          <cell r="J31">
            <v>0.8899710944317446</v>
          </cell>
          <cell r="K31" t="str">
            <v>Yes</v>
          </cell>
          <cell r="L31" t="str">
            <v>Yes</v>
          </cell>
          <cell r="M31">
            <v>0</v>
          </cell>
          <cell r="N31">
            <v>0</v>
          </cell>
          <cell r="O31">
            <v>0</v>
          </cell>
          <cell r="P31">
            <v>4.2614636895118685E-2</v>
          </cell>
          <cell r="Q31">
            <v>0.9573853631048812</v>
          </cell>
          <cell r="R31">
            <v>0.99999999999999989</v>
          </cell>
          <cell r="S31">
            <v>1</v>
          </cell>
          <cell r="T31">
            <v>0.92382203646104399</v>
          </cell>
          <cell r="U31">
            <v>0.92691300486298667</v>
          </cell>
          <cell r="V31">
            <v>0.84922454270891112</v>
          </cell>
          <cell r="W31">
            <v>0.85354453378979878</v>
          </cell>
          <cell r="X31">
            <v>0.8414957644851242</v>
          </cell>
          <cell r="Y31">
            <v>0.13657560167260377</v>
          </cell>
          <cell r="Z31">
            <v>0.14645546621020131</v>
          </cell>
          <cell r="AA31">
            <v>0.1585042355148758</v>
          </cell>
          <cell r="AE31">
            <v>0.84922454270891112</v>
          </cell>
          <cell r="AF31">
            <v>0.78844762799076074</v>
          </cell>
          <cell r="AG31">
            <v>0.78004148474405255</v>
          </cell>
          <cell r="AH31">
            <v>0.15077545729108868</v>
          </cell>
          <cell r="AI31">
            <v>0.13537440847028334</v>
          </cell>
          <cell r="AJ31">
            <v>0.1468715201189342</v>
          </cell>
          <cell r="AO31" t="str">
            <v>No</v>
          </cell>
        </row>
        <row r="32">
          <cell r="C32" t="str">
            <v>EXC</v>
          </cell>
          <cell r="E32" t="str">
            <v>BBB+</v>
          </cell>
          <cell r="F32" t="str">
            <v>No</v>
          </cell>
          <cell r="G32" t="str">
            <v>Yes</v>
          </cell>
          <cell r="H32" t="str">
            <v>NMF</v>
          </cell>
          <cell r="I32">
            <v>0.96583326991067531</v>
          </cell>
          <cell r="J32">
            <v>0.96583326991067531</v>
          </cell>
          <cell r="K32" t="str">
            <v>No</v>
          </cell>
          <cell r="L32" t="str">
            <v>No</v>
          </cell>
          <cell r="M32">
            <v>0</v>
          </cell>
          <cell r="N32">
            <v>0</v>
          </cell>
          <cell r="O32">
            <v>0</v>
          </cell>
          <cell r="P32">
            <v>0</v>
          </cell>
          <cell r="Q32">
            <v>0</v>
          </cell>
          <cell r="R32">
            <v>1</v>
          </cell>
          <cell r="S32">
            <v>1</v>
          </cell>
          <cell r="T32">
            <v>1</v>
          </cell>
          <cell r="U32">
            <v>1</v>
          </cell>
          <cell r="V32">
            <v>0.90804888228182501</v>
          </cell>
          <cell r="W32">
            <v>0.90917323043042109</v>
          </cell>
          <cell r="X32">
            <v>0.9026527861285395</v>
          </cell>
          <cell r="Y32">
            <v>9.2152725180026027E-2</v>
          </cell>
          <cell r="Z32">
            <v>9.0826769569578816E-2</v>
          </cell>
          <cell r="AA32">
            <v>9.7347213871460489E-2</v>
          </cell>
          <cell r="AE32">
            <v>0.90804888228182501</v>
          </cell>
          <cell r="AF32">
            <v>0.90917323043042109</v>
          </cell>
          <cell r="AG32">
            <v>0.9026527861285395</v>
          </cell>
          <cell r="AH32">
            <v>9.1951117718174949E-2</v>
          </cell>
          <cell r="AI32">
            <v>9.0826769569578816E-2</v>
          </cell>
          <cell r="AJ32">
            <v>9.7347213871460489E-2</v>
          </cell>
          <cell r="AO32" t="str">
            <v>No</v>
          </cell>
        </row>
        <row r="33">
          <cell r="C33" t="str">
            <v>FE</v>
          </cell>
          <cell r="E33" t="str">
            <v>BBB-</v>
          </cell>
          <cell r="F33" t="str">
            <v>Yes</v>
          </cell>
          <cell r="G33" t="str">
            <v>Yes</v>
          </cell>
          <cell r="H33">
            <v>0.85</v>
          </cell>
          <cell r="I33">
            <v>0.85562891120713025</v>
          </cell>
          <cell r="J33">
            <v>0.85281445560356506</v>
          </cell>
          <cell r="K33" t="str">
            <v>Yes</v>
          </cell>
          <cell r="L33" t="str">
            <v>Yes</v>
          </cell>
          <cell r="M33">
            <v>0</v>
          </cell>
          <cell r="N33">
            <v>0.8888643598521051</v>
          </cell>
          <cell r="O33">
            <v>0</v>
          </cell>
          <cell r="P33">
            <v>0.11113564014789498</v>
          </cell>
          <cell r="Q33">
            <v>0</v>
          </cell>
          <cell r="R33">
            <v>1</v>
          </cell>
          <cell r="S33">
            <v>1</v>
          </cell>
          <cell r="T33">
            <v>1</v>
          </cell>
          <cell r="U33">
            <v>0.97844061429850748</v>
          </cell>
          <cell r="V33">
            <v>1</v>
          </cell>
          <cell r="W33">
            <v>1</v>
          </cell>
          <cell r="X33">
            <v>1</v>
          </cell>
          <cell r="Y33">
            <v>0</v>
          </cell>
          <cell r="Z33">
            <v>0</v>
          </cell>
          <cell r="AA33">
            <v>0</v>
          </cell>
          <cell r="AE33">
            <v>1</v>
          </cell>
          <cell r="AF33">
            <v>1</v>
          </cell>
          <cell r="AG33">
            <v>0.97844061429850748</v>
          </cell>
          <cell r="AH33">
            <v>0</v>
          </cell>
          <cell r="AI33">
            <v>0</v>
          </cell>
          <cell r="AJ33">
            <v>0</v>
          </cell>
          <cell r="AO33" t="str">
            <v>Yes</v>
          </cell>
        </row>
        <row r="34">
          <cell r="C34" t="str">
            <v>EVRG</v>
          </cell>
          <cell r="E34" t="str">
            <v>A-</v>
          </cell>
          <cell r="F34" t="str">
            <v>Yes</v>
          </cell>
          <cell r="G34" t="str">
            <v>Yes</v>
          </cell>
          <cell r="H34">
            <v>0.9</v>
          </cell>
          <cell r="I34">
            <v>0.86732507888293586</v>
          </cell>
          <cell r="J34">
            <v>0.88366253944146789</v>
          </cell>
          <cell r="K34" t="str">
            <v>Yes</v>
          </cell>
          <cell r="L34" t="str">
            <v>Yes</v>
          </cell>
          <cell r="M34">
            <v>0.34956182698434868</v>
          </cell>
          <cell r="N34">
            <v>0.5000038550548207</v>
          </cell>
          <cell r="O34">
            <v>0.10033774235223146</v>
          </cell>
          <cell r="P34">
            <v>4.5078412686854852E-4</v>
          </cell>
          <cell r="Q34">
            <v>4.9645791481730525E-2</v>
          </cell>
          <cell r="R34">
            <v>0.99999999999999989</v>
          </cell>
          <cell r="S34">
            <v>1</v>
          </cell>
          <cell r="T34">
            <v>1</v>
          </cell>
          <cell r="U34">
            <v>1</v>
          </cell>
          <cell r="V34">
            <v>1</v>
          </cell>
          <cell r="W34">
            <v>1</v>
          </cell>
          <cell r="X34">
            <v>1</v>
          </cell>
          <cell r="Y34">
            <v>0</v>
          </cell>
          <cell r="Z34">
            <v>0</v>
          </cell>
          <cell r="AA34">
            <v>0</v>
          </cell>
          <cell r="AE34">
            <v>1</v>
          </cell>
          <cell r="AF34">
            <v>1</v>
          </cell>
          <cell r="AG34">
            <v>1</v>
          </cell>
          <cell r="AH34">
            <v>0</v>
          </cell>
          <cell r="AI34">
            <v>0</v>
          </cell>
          <cell r="AJ34">
            <v>0</v>
          </cell>
          <cell r="AO34" t="str">
            <v>No</v>
          </cell>
        </row>
        <row r="35">
          <cell r="C35" t="str">
            <v>HE</v>
          </cell>
          <cell r="E35" t="str">
            <v>B-</v>
          </cell>
          <cell r="F35" t="str">
            <v>No</v>
          </cell>
          <cell r="G35" t="str">
            <v>Yes</v>
          </cell>
          <cell r="H35">
            <v>0.85</v>
          </cell>
          <cell r="I35">
            <v>0.805733713084817</v>
          </cell>
          <cell r="J35">
            <v>0.82786685654240855</v>
          </cell>
          <cell r="K35" t="str">
            <v>Yes</v>
          </cell>
          <cell r="L35" t="str">
            <v>Yes</v>
          </cell>
          <cell r="M35">
            <v>0.88865354065373325</v>
          </cell>
          <cell r="N35">
            <v>0</v>
          </cell>
          <cell r="O35">
            <v>0</v>
          </cell>
          <cell r="P35">
            <v>2.4671448514899143E-3</v>
          </cell>
          <cell r="Q35">
            <v>0.10887931449477685</v>
          </cell>
          <cell r="R35">
            <v>1</v>
          </cell>
          <cell r="S35">
            <v>0.89333096347874619</v>
          </cell>
          <cell r="T35">
            <v>0.79046188266806949</v>
          </cell>
          <cell r="U35">
            <v>0.41526509917902094</v>
          </cell>
          <cell r="V35">
            <v>1</v>
          </cell>
          <cell r="W35">
            <v>1</v>
          </cell>
          <cell r="X35">
            <v>1</v>
          </cell>
          <cell r="Y35">
            <v>0</v>
          </cell>
          <cell r="Z35">
            <v>0</v>
          </cell>
          <cell r="AA35">
            <v>0</v>
          </cell>
          <cell r="AE35">
            <v>0.89333096347874619</v>
          </cell>
          <cell r="AF35">
            <v>0.79046188266806949</v>
          </cell>
          <cell r="AG35">
            <v>0.41526509917902094</v>
          </cell>
          <cell r="AH35">
            <v>0</v>
          </cell>
          <cell r="AI35">
            <v>0</v>
          </cell>
          <cell r="AJ35">
            <v>0</v>
          </cell>
          <cell r="AO35" t="str">
            <v>No</v>
          </cell>
        </row>
        <row r="36">
          <cell r="C36" t="str">
            <v>IDA</v>
          </cell>
          <cell r="E36" t="str">
            <v>BBB</v>
          </cell>
          <cell r="F36" t="str">
            <v>Yes</v>
          </cell>
          <cell r="G36" t="str">
            <v>Yes</v>
          </cell>
          <cell r="H36">
            <v>0.8</v>
          </cell>
          <cell r="I36">
            <v>0.84569806510385037</v>
          </cell>
          <cell r="J36">
            <v>0.82284903255192521</v>
          </cell>
          <cell r="K36" t="str">
            <v>Yes</v>
          </cell>
          <cell r="L36" t="str">
            <v>Yes</v>
          </cell>
          <cell r="M36">
            <v>0.21363552406001149</v>
          </cell>
          <cell r="N36">
            <v>0.26434664523027213</v>
          </cell>
          <cell r="O36">
            <v>0</v>
          </cell>
          <cell r="P36">
            <v>0.5220178307097163</v>
          </cell>
          <cell r="Q36">
            <v>0</v>
          </cell>
          <cell r="R36">
            <v>0.99999999999999989</v>
          </cell>
          <cell r="S36">
            <v>0.99795604027852602</v>
          </cell>
          <cell r="T36">
            <v>0.99910991510613201</v>
          </cell>
          <cell r="U36">
            <v>0.97511933478760093</v>
          </cell>
          <cell r="V36">
            <v>1</v>
          </cell>
          <cell r="W36">
            <v>1</v>
          </cell>
          <cell r="X36">
            <v>1</v>
          </cell>
          <cell r="Y36">
            <v>0</v>
          </cell>
          <cell r="Z36">
            <v>0</v>
          </cell>
          <cell r="AA36">
            <v>0</v>
          </cell>
          <cell r="AE36">
            <v>0.99795604027852602</v>
          </cell>
          <cell r="AF36">
            <v>0.99910991510613201</v>
          </cell>
          <cell r="AG36">
            <v>0.97511933478760093</v>
          </cell>
          <cell r="AH36">
            <v>0</v>
          </cell>
          <cell r="AI36">
            <v>0</v>
          </cell>
          <cell r="AJ36">
            <v>0</v>
          </cell>
          <cell r="AO36" t="str">
            <v>No</v>
          </cell>
        </row>
        <row r="37">
          <cell r="C37" t="str">
            <v>MGEE</v>
          </cell>
          <cell r="E37" t="str">
            <v>AA-</v>
          </cell>
          <cell r="F37" t="str">
            <v>Yes</v>
          </cell>
          <cell r="G37" t="str">
            <v>Yes</v>
          </cell>
          <cell r="H37">
            <v>0.7</v>
          </cell>
          <cell r="I37">
            <v>0.7053630086717908</v>
          </cell>
          <cell r="J37">
            <v>0.70268150433589538</v>
          </cell>
          <cell r="K37" t="str">
            <v>Yes</v>
          </cell>
          <cell r="L37" t="str">
            <v>Yes</v>
          </cell>
          <cell r="M37">
            <v>0.47862146581737447</v>
          </cell>
          <cell r="N37">
            <v>0.383168601406225</v>
          </cell>
          <cell r="O37">
            <v>0</v>
          </cell>
          <cell r="P37">
            <v>0</v>
          </cell>
          <cell r="Q37">
            <v>0.13820993277640059</v>
          </cell>
          <cell r="R37">
            <v>1</v>
          </cell>
          <cell r="S37">
            <v>0.99888937365210795</v>
          </cell>
          <cell r="T37">
            <v>0.7255042536845574</v>
          </cell>
          <cell r="U37">
            <v>0.87651778677587255</v>
          </cell>
          <cell r="V37">
            <v>0.69237454548251698</v>
          </cell>
          <cell r="W37">
            <v>0.69237454548251698</v>
          </cell>
          <cell r="X37">
            <v>0.76701475613787862</v>
          </cell>
          <cell r="Y37">
            <v>0.29489725441330633</v>
          </cell>
          <cell r="Z37">
            <v>0.26840640465109439</v>
          </cell>
          <cell r="AA37">
            <v>0.23298524386212141</v>
          </cell>
          <cell r="AE37">
            <v>0.69160141804400987</v>
          </cell>
          <cell r="AF37">
            <v>0.50164985545771079</v>
          </cell>
          <cell r="AG37">
            <v>0.67226558581824458</v>
          </cell>
          <cell r="AH37">
            <v>0.30728795560809791</v>
          </cell>
          <cell r="AI37">
            <v>0.19459503828980351</v>
          </cell>
          <cell r="AJ37">
            <v>0.20425220095762786</v>
          </cell>
          <cell r="AO37" t="str">
            <v>No</v>
          </cell>
        </row>
        <row r="38">
          <cell r="C38" t="str">
            <v>NEE</v>
          </cell>
          <cell r="E38" t="str">
            <v>A-</v>
          </cell>
          <cell r="F38" t="str">
            <v>Yes</v>
          </cell>
          <cell r="G38" t="str">
            <v>Yes</v>
          </cell>
          <cell r="H38">
            <v>0.95</v>
          </cell>
          <cell r="I38">
            <v>0.89053137156336926</v>
          </cell>
          <cell r="J38">
            <v>0.92026568578168466</v>
          </cell>
          <cell r="K38" t="str">
            <v>Yes</v>
          </cell>
          <cell r="L38" t="str">
            <v>Yes</v>
          </cell>
          <cell r="M38">
            <v>0.76202705986400643</v>
          </cell>
          <cell r="N38">
            <v>8.5605414719970352E-2</v>
          </cell>
          <cell r="O38">
            <v>0.11459606984502838</v>
          </cell>
          <cell r="P38">
            <v>0</v>
          </cell>
          <cell r="Q38">
            <v>3.777145557099492E-2</v>
          </cell>
          <cell r="R38">
            <v>1</v>
          </cell>
          <cell r="S38">
            <v>0.79217763095698535</v>
          </cell>
          <cell r="T38">
            <v>0.95500034991951843</v>
          </cell>
          <cell r="U38">
            <v>0.551566469425531</v>
          </cell>
          <cell r="V38">
            <v>1</v>
          </cell>
          <cell r="W38">
            <v>1</v>
          </cell>
          <cell r="X38">
            <v>1</v>
          </cell>
          <cell r="Y38">
            <v>0</v>
          </cell>
          <cell r="Z38">
            <v>0</v>
          </cell>
          <cell r="AA38">
            <v>0</v>
          </cell>
          <cell r="AE38">
            <v>0.79217763095698535</v>
          </cell>
          <cell r="AF38">
            <v>0.95500034991951843</v>
          </cell>
          <cell r="AG38">
            <v>0.551566469425531</v>
          </cell>
          <cell r="AH38">
            <v>0</v>
          </cell>
          <cell r="AI38">
            <v>0</v>
          </cell>
          <cell r="AJ38">
            <v>0</v>
          </cell>
          <cell r="AO38" t="str">
            <v>No</v>
          </cell>
        </row>
        <row r="39">
          <cell r="C39" t="str">
            <v>NWE</v>
          </cell>
          <cell r="E39" t="str">
            <v>BBB</v>
          </cell>
          <cell r="F39" t="str">
            <v>Yes</v>
          </cell>
          <cell r="G39" t="str">
            <v>Yes</v>
          </cell>
          <cell r="H39">
            <v>0.95</v>
          </cell>
          <cell r="I39">
            <v>0.96261831343118009</v>
          </cell>
          <cell r="J39">
            <v>0.95630915671559003</v>
          </cell>
          <cell r="K39" t="str">
            <v>Yes</v>
          </cell>
          <cell r="L39" t="str">
            <v>Yes</v>
          </cell>
          <cell r="M39">
            <v>0.24673995961652553</v>
          </cell>
          <cell r="N39">
            <v>0.32541917173927443</v>
          </cell>
          <cell r="O39">
            <v>0</v>
          </cell>
          <cell r="P39">
            <v>0.33007666733491048</v>
          </cell>
          <cell r="Q39">
            <v>9.7764201309289533E-2</v>
          </cell>
          <cell r="R39">
            <v>1</v>
          </cell>
          <cell r="S39">
            <v>1</v>
          </cell>
          <cell r="T39">
            <v>0.99748804705537031</v>
          </cell>
          <cell r="U39">
            <v>0.9987782900219111</v>
          </cell>
          <cell r="V39">
            <v>0.76679189918521928</v>
          </cell>
          <cell r="W39">
            <v>0.84487532084622352</v>
          </cell>
          <cell r="X39">
            <v>0.778392867212229</v>
          </cell>
          <cell r="Y39">
            <v>0.22715393369889461</v>
          </cell>
          <cell r="Z39">
            <v>0.15512467915377637</v>
          </cell>
          <cell r="AA39">
            <v>0.22160713278777097</v>
          </cell>
          <cell r="AE39">
            <v>0.76679189918521928</v>
          </cell>
          <cell r="AF39">
            <v>0.84276627862178888</v>
          </cell>
          <cell r="AG39">
            <v>0.77745707453926638</v>
          </cell>
          <cell r="AH39">
            <v>0.23320810081478063</v>
          </cell>
          <cell r="AI39">
            <v>0.15472176843358124</v>
          </cell>
          <cell r="AJ39">
            <v>0.22132121548264483</v>
          </cell>
          <cell r="AO39" t="str">
            <v>No</v>
          </cell>
        </row>
        <row r="40">
          <cell r="C40" t="str">
            <v>OGE</v>
          </cell>
          <cell r="E40" t="str">
            <v>BBB+</v>
          </cell>
          <cell r="F40" t="str">
            <v>Yes</v>
          </cell>
          <cell r="G40" t="str">
            <v>Yes</v>
          </cell>
          <cell r="H40">
            <v>1</v>
          </cell>
          <cell r="I40">
            <v>0.99540796611433702</v>
          </cell>
          <cell r="J40">
            <v>0.99770398305716856</v>
          </cell>
          <cell r="K40" t="str">
            <v>Yes</v>
          </cell>
          <cell r="L40" t="str">
            <v>Yes</v>
          </cell>
          <cell r="M40">
            <v>0.55160452031279805</v>
          </cell>
          <cell r="N40">
            <v>0.37974740129696738</v>
          </cell>
          <cell r="O40">
            <v>0</v>
          </cell>
          <cell r="P40">
            <v>0</v>
          </cell>
          <cell r="Q40">
            <v>6.8648078390234596E-2</v>
          </cell>
          <cell r="R40">
            <v>1</v>
          </cell>
          <cell r="S40">
            <v>1</v>
          </cell>
          <cell r="T40">
            <v>1</v>
          </cell>
          <cell r="U40">
            <v>0.96500380111004525</v>
          </cell>
          <cell r="V40">
            <v>1</v>
          </cell>
          <cell r="W40">
            <v>1</v>
          </cell>
          <cell r="X40">
            <v>1</v>
          </cell>
          <cell r="Y40">
            <v>0</v>
          </cell>
          <cell r="Z40">
            <v>0</v>
          </cell>
          <cell r="AA40">
            <v>0</v>
          </cell>
          <cell r="AE40">
            <v>1</v>
          </cell>
          <cell r="AF40">
            <v>1</v>
          </cell>
          <cell r="AG40">
            <v>0.96500380111004525</v>
          </cell>
          <cell r="AH40">
            <v>0</v>
          </cell>
          <cell r="AI40">
            <v>0</v>
          </cell>
          <cell r="AJ40">
            <v>0</v>
          </cell>
          <cell r="AO40" t="str">
            <v>No</v>
          </cell>
        </row>
        <row r="41">
          <cell r="C41" t="str">
            <v>OTTR</v>
          </cell>
          <cell r="E41" t="str">
            <v>BBB</v>
          </cell>
          <cell r="F41" t="str">
            <v>Yes</v>
          </cell>
          <cell r="G41" t="str">
            <v>Yes</v>
          </cell>
          <cell r="H41">
            <v>0.85</v>
          </cell>
          <cell r="I41">
            <v>0.9172366855830999</v>
          </cell>
          <cell r="J41">
            <v>0.88361834279154994</v>
          </cell>
          <cell r="K41" t="str">
            <v>Yes</v>
          </cell>
          <cell r="L41" t="str">
            <v>Yes</v>
          </cell>
          <cell r="M41">
            <v>0.15544765180860973</v>
          </cell>
          <cell r="N41">
            <v>0.66950295776080626</v>
          </cell>
          <cell r="O41">
            <v>0</v>
          </cell>
          <cell r="P41">
            <v>5.0985259348713813E-3</v>
          </cell>
          <cell r="Q41">
            <v>0.1699508644957127</v>
          </cell>
          <cell r="R41">
            <v>1</v>
          </cell>
          <cell r="S41">
            <v>0.42632052466559589</v>
          </cell>
          <cell r="T41">
            <v>0.48073970254206772</v>
          </cell>
          <cell r="U41">
            <v>0.83525863269419476</v>
          </cell>
          <cell r="V41">
            <v>1</v>
          </cell>
          <cell r="W41">
            <v>1</v>
          </cell>
          <cell r="X41">
            <v>1</v>
          </cell>
          <cell r="Y41">
            <v>0</v>
          </cell>
          <cell r="Z41">
            <v>0</v>
          </cell>
          <cell r="AA41">
            <v>0</v>
          </cell>
          <cell r="AE41">
            <v>0.42632052466559589</v>
          </cell>
          <cell r="AF41">
            <v>0.48073970254206772</v>
          </cell>
          <cell r="AG41">
            <v>0.83525863269419476</v>
          </cell>
          <cell r="AH41">
            <v>0</v>
          </cell>
          <cell r="AI41">
            <v>0</v>
          </cell>
          <cell r="AJ41">
            <v>0</v>
          </cell>
          <cell r="AO41" t="str">
            <v>No</v>
          </cell>
        </row>
        <row r="42">
          <cell r="C42" t="str">
            <v>PCG</v>
          </cell>
          <cell r="E42" t="str">
            <v>BB-</v>
          </cell>
          <cell r="F42" t="str">
            <v>No</v>
          </cell>
          <cell r="G42" t="str">
            <v>Yes</v>
          </cell>
          <cell r="H42" t="str">
            <v>n/a</v>
          </cell>
          <cell r="I42">
            <v>1.321541099818226</v>
          </cell>
          <cell r="J42">
            <v>1.321541099818226</v>
          </cell>
          <cell r="K42" t="str">
            <v>Yes</v>
          </cell>
          <cell r="L42" t="str">
            <v>Yes</v>
          </cell>
          <cell r="M42">
            <v>0.18467503567965515</v>
          </cell>
          <cell r="N42">
            <v>0</v>
          </cell>
          <cell r="O42">
            <v>0.29115638477356093</v>
          </cell>
          <cell r="P42">
            <v>0.50362385714619951</v>
          </cell>
          <cell r="Q42">
            <v>2.054472240058439E-2</v>
          </cell>
          <cell r="R42">
            <v>1</v>
          </cell>
          <cell r="S42">
            <v>1</v>
          </cell>
          <cell r="T42">
            <v>1</v>
          </cell>
          <cell r="U42">
            <v>0.99723309723130793</v>
          </cell>
          <cell r="V42">
            <v>0.72600263586175284</v>
          </cell>
          <cell r="W42">
            <v>0.55332424506255773</v>
          </cell>
          <cell r="X42">
            <v>0.74789924564853638</v>
          </cell>
          <cell r="Y42">
            <v>0.26822458123871945</v>
          </cell>
          <cell r="Z42">
            <v>0.44667575493744227</v>
          </cell>
          <cell r="AA42">
            <v>0.25210075435146362</v>
          </cell>
          <cell r="AE42">
            <v>0.72600263586175284</v>
          </cell>
          <cell r="AF42">
            <v>0.55332424506255773</v>
          </cell>
          <cell r="AG42">
            <v>0.74582201235889289</v>
          </cell>
          <cell r="AH42">
            <v>0.27399736413824721</v>
          </cell>
          <cell r="AI42">
            <v>0.44667575493744227</v>
          </cell>
          <cell r="AJ42">
            <v>0.25141108487241498</v>
          </cell>
          <cell r="AO42" t="str">
            <v>No</v>
          </cell>
        </row>
        <row r="43">
          <cell r="C43" t="str">
            <v>PNW</v>
          </cell>
          <cell r="E43" t="str">
            <v>BBB+</v>
          </cell>
          <cell r="F43" t="str">
            <v>Yes</v>
          </cell>
          <cell r="G43" t="str">
            <v>Yes</v>
          </cell>
          <cell r="H43">
            <v>0.9</v>
          </cell>
          <cell r="I43">
            <v>0.92163274295777076</v>
          </cell>
          <cell r="J43">
            <v>0.91081637147888539</v>
          </cell>
          <cell r="K43" t="str">
            <v>Yes</v>
          </cell>
          <cell r="L43" t="str">
            <v>Yes</v>
          </cell>
          <cell r="M43">
            <v>0.53851320663481683</v>
          </cell>
          <cell r="N43">
            <v>0.25195881544586068</v>
          </cell>
          <cell r="O43">
            <v>0.17551755562038274</v>
          </cell>
          <cell r="P43">
            <v>0</v>
          </cell>
          <cell r="Q43">
            <v>3.4010422298939705E-2</v>
          </cell>
          <cell r="R43">
            <v>1</v>
          </cell>
          <cell r="S43">
            <v>1</v>
          </cell>
          <cell r="T43">
            <v>1</v>
          </cell>
          <cell r="U43">
            <v>0.99434745026120019</v>
          </cell>
          <cell r="V43">
            <v>1</v>
          </cell>
          <cell r="W43">
            <v>1</v>
          </cell>
          <cell r="X43">
            <v>1</v>
          </cell>
          <cell r="Y43">
            <v>0</v>
          </cell>
          <cell r="Z43">
            <v>0</v>
          </cell>
          <cell r="AA43">
            <v>0</v>
          </cell>
          <cell r="AE43">
            <v>1</v>
          </cell>
          <cell r="AF43">
            <v>1</v>
          </cell>
          <cell r="AG43">
            <v>0.99434745026120019</v>
          </cell>
          <cell r="AH43">
            <v>0</v>
          </cell>
          <cell r="AI43">
            <v>0</v>
          </cell>
          <cell r="AJ43">
            <v>0</v>
          </cell>
          <cell r="AO43" t="str">
            <v>No</v>
          </cell>
        </row>
        <row r="44">
          <cell r="C44" t="str">
            <v>PNM</v>
          </cell>
          <cell r="E44" t="str">
            <v>BBB</v>
          </cell>
          <cell r="F44" t="str">
            <v>Yes</v>
          </cell>
          <cell r="G44" t="str">
            <v>Yes</v>
          </cell>
          <cell r="H44">
            <v>0.9</v>
          </cell>
          <cell r="I44">
            <v>0.90872064214018722</v>
          </cell>
          <cell r="J44">
            <v>0.90436032107009368</v>
          </cell>
          <cell r="K44" t="str">
            <v>Yes</v>
          </cell>
          <cell r="L44" t="str">
            <v>Yes</v>
          </cell>
          <cell r="M44">
            <v>0.40191682463726158</v>
          </cell>
          <cell r="N44">
            <v>0.34594791946966824</v>
          </cell>
          <cell r="O44">
            <v>0.18535690610594038</v>
          </cell>
          <cell r="P44">
            <v>0</v>
          </cell>
          <cell r="Q44">
            <v>6.677834978712982E-2</v>
          </cell>
          <cell r="R44">
            <v>1</v>
          </cell>
          <cell r="S44">
            <v>1</v>
          </cell>
          <cell r="T44">
            <v>1</v>
          </cell>
          <cell r="U44">
            <v>0.97260348726791845</v>
          </cell>
          <cell r="V44">
            <v>1</v>
          </cell>
          <cell r="W44">
            <v>1</v>
          </cell>
          <cell r="X44">
            <v>1</v>
          </cell>
          <cell r="Y44">
            <v>0</v>
          </cell>
          <cell r="Z44">
            <v>0</v>
          </cell>
          <cell r="AA44">
            <v>0</v>
          </cell>
          <cell r="AE44">
            <v>1</v>
          </cell>
          <cell r="AF44">
            <v>1</v>
          </cell>
          <cell r="AG44">
            <v>0.97260348726791845</v>
          </cell>
          <cell r="AH44">
            <v>0</v>
          </cell>
          <cell r="AI44">
            <v>0</v>
          </cell>
          <cell r="AJ44">
            <v>0</v>
          </cell>
          <cell r="AO44" t="str">
            <v>Yes</v>
          </cell>
        </row>
        <row r="45">
          <cell r="C45" t="str">
            <v>POR</v>
          </cell>
          <cell r="E45" t="str">
            <v>BBB+</v>
          </cell>
          <cell r="F45" t="str">
            <v>Yes</v>
          </cell>
          <cell r="G45" t="str">
            <v>Yes</v>
          </cell>
          <cell r="H45">
            <v>0.9</v>
          </cell>
          <cell r="I45">
            <v>0.85695636329962999</v>
          </cell>
          <cell r="J45">
            <v>0.87847818164981506</v>
          </cell>
          <cell r="K45" t="str">
            <v>Yes</v>
          </cell>
          <cell r="L45" t="str">
            <v>Yes</v>
          </cell>
          <cell r="M45">
            <v>0.48742635814783197</v>
          </cell>
          <cell r="N45">
            <v>0.20814487207403468</v>
          </cell>
          <cell r="O45">
            <v>0</v>
          </cell>
          <cell r="P45">
            <v>0.12141426375694087</v>
          </cell>
          <cell r="Q45">
            <v>0.18301450602119237</v>
          </cell>
          <cell r="R45">
            <v>0.99999999999999989</v>
          </cell>
          <cell r="S45">
            <v>1</v>
          </cell>
          <cell r="T45">
            <v>1</v>
          </cell>
          <cell r="U45">
            <v>1</v>
          </cell>
          <cell r="V45">
            <v>1</v>
          </cell>
          <cell r="W45">
            <v>1</v>
          </cell>
          <cell r="X45">
            <v>1</v>
          </cell>
          <cell r="Y45">
            <v>0</v>
          </cell>
          <cell r="Z45">
            <v>0</v>
          </cell>
          <cell r="AA45">
            <v>0</v>
          </cell>
          <cell r="AE45">
            <v>1</v>
          </cell>
          <cell r="AF45">
            <v>1</v>
          </cell>
          <cell r="AG45">
            <v>1</v>
          </cell>
          <cell r="AH45">
            <v>0</v>
          </cell>
          <cell r="AI45">
            <v>0</v>
          </cell>
          <cell r="AJ45">
            <v>0</v>
          </cell>
          <cell r="AO45" t="str">
            <v>No</v>
          </cell>
        </row>
        <row r="46">
          <cell r="C46" t="str">
            <v>PPL</v>
          </cell>
          <cell r="E46" t="str">
            <v>A-</v>
          </cell>
          <cell r="F46" t="str">
            <v>No</v>
          </cell>
          <cell r="G46" t="str">
            <v>Yes</v>
          </cell>
          <cell r="H46">
            <v>1.1000000000000001</v>
          </cell>
          <cell r="I46">
            <v>1.0476620627219047</v>
          </cell>
          <cell r="J46">
            <v>1.0738310313609523</v>
          </cell>
          <cell r="K46" t="str">
            <v>Yes</v>
          </cell>
          <cell r="L46" t="str">
            <v>Yes</v>
          </cell>
          <cell r="M46">
            <v>0.36559097949526165</v>
          </cell>
          <cell r="N46">
            <v>0.61740023442310399</v>
          </cell>
          <cell r="O46">
            <v>0</v>
          </cell>
          <cell r="P46">
            <v>1.5813341459647086E-2</v>
          </cell>
          <cell r="Q46">
            <v>1.1954446219872305E-3</v>
          </cell>
          <cell r="R46">
            <v>1</v>
          </cell>
          <cell r="S46">
            <v>0.9970893444697545</v>
          </cell>
          <cell r="T46">
            <v>1</v>
          </cell>
          <cell r="U46">
            <v>0.96598567539709812</v>
          </cell>
          <cell r="V46">
            <v>0.93132198792321208</v>
          </cell>
          <cell r="W46">
            <v>0.94021523181560485</v>
          </cell>
          <cell r="X46">
            <v>0.9494424267386159</v>
          </cell>
          <cell r="Y46">
            <v>6.8678012076787878E-2</v>
          </cell>
          <cell r="Z46">
            <v>5.9784768184395112E-2</v>
          </cell>
          <cell r="AA46">
            <v>5.0557573261384062E-2</v>
          </cell>
          <cell r="AE46">
            <v>0.92861123042862415</v>
          </cell>
          <cell r="AF46">
            <v>0.94021523181560485</v>
          </cell>
          <cell r="AG46">
            <v>0.91714778384376172</v>
          </cell>
          <cell r="AH46">
            <v>6.8478114041130314E-2</v>
          </cell>
          <cell r="AI46">
            <v>5.9784768184395112E-2</v>
          </cell>
          <cell r="AJ46">
            <v>4.883789155333635E-2</v>
          </cell>
          <cell r="AO46" t="str">
            <v>No</v>
          </cell>
        </row>
        <row r="47">
          <cell r="C47" t="str">
            <v>PEG</v>
          </cell>
          <cell r="E47" t="str">
            <v>BBB+</v>
          </cell>
          <cell r="F47" t="str">
            <v>Yes</v>
          </cell>
          <cell r="G47" t="str">
            <v>Yes</v>
          </cell>
          <cell r="H47">
            <v>0.95</v>
          </cell>
          <cell r="I47">
            <v>0.92597247011405504</v>
          </cell>
          <cell r="J47">
            <v>0.9379862350570275</v>
          </cell>
          <cell r="K47" t="str">
            <v>Yes</v>
          </cell>
          <cell r="L47" t="str">
            <v>Yes</v>
          </cell>
          <cell r="M47">
            <v>0</v>
          </cell>
          <cell r="N47">
            <v>0</v>
          </cell>
          <cell r="O47">
            <v>0</v>
          </cell>
          <cell r="P47">
            <v>0.76285963382737587</v>
          </cell>
          <cell r="Q47">
            <v>0.23714036617262427</v>
          </cell>
          <cell r="R47">
            <v>1.0000000000000002</v>
          </cell>
          <cell r="S47">
            <v>0.74345916323179528</v>
          </cell>
          <cell r="T47">
            <v>0.9006934466912857</v>
          </cell>
          <cell r="U47">
            <v>0.7634137817517086</v>
          </cell>
          <cell r="V47">
            <v>0.69406485297771081</v>
          </cell>
          <cell r="W47">
            <v>0.77261206466088883</v>
          </cell>
          <cell r="X47">
            <v>0.74252281706878709</v>
          </cell>
          <cell r="Y47">
            <v>0.29285058034485756</v>
          </cell>
          <cell r="Z47">
            <v>0.22738793533911117</v>
          </cell>
          <cell r="AA47">
            <v>0.25473683986351708</v>
          </cell>
          <cell r="AE47">
            <v>0.51528476356091202</v>
          </cell>
          <cell r="AF47">
            <v>0.69426025550547321</v>
          </cell>
          <cell r="AG47">
            <v>0.56668154830133222</v>
          </cell>
          <cell r="AH47">
            <v>0.22817439967088335</v>
          </cell>
          <cell r="AI47">
            <v>0.20643319118581238</v>
          </cell>
          <cell r="AJ47">
            <v>0.19464644181944415</v>
          </cell>
          <cell r="AO47" t="str">
            <v>No</v>
          </cell>
        </row>
        <row r="48">
          <cell r="C48" t="str">
            <v>SRE</v>
          </cell>
          <cell r="E48" t="str">
            <v>BBB+</v>
          </cell>
          <cell r="F48" t="str">
            <v>Yes</v>
          </cell>
          <cell r="G48" t="str">
            <v>Yes</v>
          </cell>
          <cell r="H48">
            <v>1</v>
          </cell>
          <cell r="I48">
            <v>0.91853603002564954</v>
          </cell>
          <cell r="J48">
            <v>0.95926801501282477</v>
          </cell>
          <cell r="K48" t="str">
            <v>Yes</v>
          </cell>
          <cell r="L48" t="str">
            <v>Yes</v>
          </cell>
          <cell r="M48">
            <v>0.96211516988355406</v>
          </cell>
          <cell r="N48">
            <v>0</v>
          </cell>
          <cell r="O48">
            <v>0</v>
          </cell>
          <cell r="P48">
            <v>0</v>
          </cell>
          <cell r="Q48">
            <v>3.7884830116446007E-2</v>
          </cell>
          <cell r="R48">
            <v>1</v>
          </cell>
          <cell r="S48">
            <v>0.67056577278266849</v>
          </cell>
          <cell r="T48">
            <v>0.51515808957818798</v>
          </cell>
          <cell r="U48">
            <v>0.71577157793788582</v>
          </cell>
          <cell r="V48">
            <v>0.42025470877125176</v>
          </cell>
          <cell r="W48">
            <v>0.84565740225850705</v>
          </cell>
          <cell r="X48">
            <v>0.53385861032806747</v>
          </cell>
          <cell r="Y48">
            <v>0.56786226148066865</v>
          </cell>
          <cell r="Z48">
            <v>0.15434259774149303</v>
          </cell>
          <cell r="AA48">
            <v>0.5399075797032552</v>
          </cell>
          <cell r="AE48">
            <v>0.28167474859311897</v>
          </cell>
          <cell r="AF48">
            <v>0.37181040732478726</v>
          </cell>
          <cell r="AG48">
            <v>0.38797011732943698</v>
          </cell>
          <cell r="AH48">
            <v>0.38889102418954957</v>
          </cell>
          <cell r="AI48">
            <v>0.14334768225340069</v>
          </cell>
          <cell r="AJ48">
            <v>0.38786435549588089</v>
          </cell>
          <cell r="AO48" t="str">
            <v>No</v>
          </cell>
        </row>
        <row r="49">
          <cell r="C49" t="str">
            <v>SO</v>
          </cell>
          <cell r="E49" t="str">
            <v>BBB+</v>
          </cell>
          <cell r="F49" t="str">
            <v>Yes</v>
          </cell>
          <cell r="G49" t="str">
            <v>Yes</v>
          </cell>
          <cell r="H49">
            <v>0.9</v>
          </cell>
          <cell r="I49">
            <v>0.8836844525791937</v>
          </cell>
          <cell r="J49">
            <v>0.89184222628959686</v>
          </cell>
          <cell r="K49" t="str">
            <v>Yes</v>
          </cell>
          <cell r="L49" t="str">
            <v>Yes</v>
          </cell>
          <cell r="M49">
            <v>0.46106590858177743</v>
          </cell>
          <cell r="N49">
            <v>0.32576236455776753</v>
          </cell>
          <cell r="O49">
            <v>0.11635502980353132</v>
          </cell>
          <cell r="P49">
            <v>9.1125702830763974E-2</v>
          </cell>
          <cell r="Q49">
            <v>5.6909942261597719E-3</v>
          </cell>
          <cell r="R49">
            <v>1</v>
          </cell>
          <cell r="S49">
            <v>0.90677582337239659</v>
          </cell>
          <cell r="T49">
            <v>0.95131842725084714</v>
          </cell>
          <cell r="U49">
            <v>0.885810589624758</v>
          </cell>
          <cell r="V49">
            <v>0.79344894425910206</v>
          </cell>
          <cell r="W49">
            <v>0.81185007260031694</v>
          </cell>
          <cell r="X49">
            <v>0.78777278651319538</v>
          </cell>
          <cell r="Y49">
            <v>0.19865133516341618</v>
          </cell>
          <cell r="Z49">
            <v>0.18814992739968325</v>
          </cell>
          <cell r="AA49">
            <v>0.21222721348680462</v>
          </cell>
          <cell r="AE49">
            <v>0.71955222575826705</v>
          </cell>
          <cell r="AF49">
            <v>0.7734485886324981</v>
          </cell>
          <cell r="AG49">
            <v>0.69783429662478369</v>
          </cell>
          <cell r="AH49">
            <v>0.18722359761412941</v>
          </cell>
          <cell r="AI49">
            <v>0.17786983861834893</v>
          </cell>
          <cell r="AJ49">
            <v>0.18797629299997412</v>
          </cell>
          <cell r="AO49" t="str">
            <v>No</v>
          </cell>
        </row>
        <row r="50">
          <cell r="C50" t="str">
            <v>UTL</v>
          </cell>
          <cell r="E50" t="str">
            <v>BBB+</v>
          </cell>
          <cell r="F50" t="str">
            <v>Yes</v>
          </cell>
          <cell r="G50" t="str">
            <v>Yes</v>
          </cell>
          <cell r="H50">
            <v>0.8</v>
          </cell>
          <cell r="I50">
            <v>0.83991548181968756</v>
          </cell>
          <cell r="J50">
            <v>0.81995774090984375</v>
          </cell>
          <cell r="K50" t="str">
            <v>n/a</v>
          </cell>
          <cell r="L50" t="str">
            <v>n/a</v>
          </cell>
          <cell r="M50" t="str">
            <v>n/a</v>
          </cell>
          <cell r="N50" t="str">
            <v>n/a</v>
          </cell>
          <cell r="O50" t="str">
            <v>n/a</v>
          </cell>
          <cell r="P50" t="str">
            <v>n/a</v>
          </cell>
          <cell r="Q50" t="str">
            <v>n/a</v>
          </cell>
          <cell r="R50" t="str">
            <v>n/a</v>
          </cell>
          <cell r="S50">
            <v>1</v>
          </cell>
          <cell r="T50">
            <v>1</v>
          </cell>
          <cell r="U50">
            <v>1</v>
          </cell>
          <cell r="V50">
            <v>0.57031109190019103</v>
          </cell>
          <cell r="W50">
            <v>0.36792985575952319</v>
          </cell>
          <cell r="X50">
            <v>0.38214727754209887</v>
          </cell>
          <cell r="Y50">
            <v>0.42378070416479968</v>
          </cell>
          <cell r="Z50">
            <v>0.63207014424047669</v>
          </cell>
          <cell r="AA50">
            <v>0.61785272245790113</v>
          </cell>
          <cell r="AE50">
            <v>0.57031109190019103</v>
          </cell>
          <cell r="AF50">
            <v>0.36331157768296068</v>
          </cell>
          <cell r="AG50">
            <v>0.37709430103766001</v>
          </cell>
          <cell r="AH50">
            <v>0.42968890809980892</v>
          </cell>
          <cell r="AI50">
            <v>0.62441069025488449</v>
          </cell>
          <cell r="AJ50">
            <v>0.60968686553389873</v>
          </cell>
          <cell r="AO50" t="str">
            <v>No</v>
          </cell>
        </row>
        <row r="51">
          <cell r="C51" t="str">
            <v>WEC</v>
          </cell>
          <cell r="E51" t="str">
            <v>A-</v>
          </cell>
          <cell r="F51" t="str">
            <v>Yes</v>
          </cell>
          <cell r="G51" t="str">
            <v>Yes</v>
          </cell>
          <cell r="H51">
            <v>0.8</v>
          </cell>
          <cell r="I51">
            <v>0.81324223195663414</v>
          </cell>
          <cell r="J51">
            <v>0.80662111597831709</v>
          </cell>
          <cell r="K51" t="str">
            <v>Yes</v>
          </cell>
          <cell r="L51" t="str">
            <v>Yes</v>
          </cell>
          <cell r="M51">
            <v>0.50944246498606605</v>
          </cell>
          <cell r="N51">
            <v>0.40060776729657005</v>
          </cell>
          <cell r="O51">
            <v>0</v>
          </cell>
          <cell r="P51">
            <v>2.1508230455984899E-2</v>
          </cell>
          <cell r="Q51">
            <v>6.8441537261379012E-2</v>
          </cell>
          <cell r="R51">
            <v>1</v>
          </cell>
          <cell r="S51">
            <v>0.99317548519588972</v>
          </cell>
          <cell r="T51">
            <v>0.99148947350488925</v>
          </cell>
          <cell r="U51">
            <v>0.94054214938998337</v>
          </cell>
          <cell r="V51">
            <v>0.5574974163448263</v>
          </cell>
          <cell r="W51">
            <v>0.59911060579535114</v>
          </cell>
          <cell r="X51">
            <v>0.86157967023818305</v>
          </cell>
          <cell r="Y51">
            <v>0.42802027284974159</v>
          </cell>
          <cell r="Z51">
            <v>0.39738534180732304</v>
          </cell>
          <cell r="AA51">
            <v>0.13594300023985403</v>
          </cell>
          <cell r="AE51">
            <v>0.55361917264587546</v>
          </cell>
          <cell r="AF51">
            <v>0.59315390870698426</v>
          </cell>
          <cell r="AG51">
            <v>0.81041463297304706</v>
          </cell>
          <cell r="AH51">
            <v>0.43955631255001437</v>
          </cell>
          <cell r="AI51">
            <v>0.39486799470415584</v>
          </cell>
          <cell r="AJ51">
            <v>0.12780038101990163</v>
          </cell>
          <cell r="AO51" t="str">
            <v>No</v>
          </cell>
        </row>
        <row r="52">
          <cell r="C52" t="str">
            <v>XEL</v>
          </cell>
          <cell r="E52" t="str">
            <v>A-</v>
          </cell>
          <cell r="F52" t="str">
            <v>Yes</v>
          </cell>
          <cell r="G52" t="str">
            <v>Yes</v>
          </cell>
          <cell r="H52">
            <v>0.85</v>
          </cell>
          <cell r="I52">
            <v>0.82723094317112023</v>
          </cell>
          <cell r="J52">
            <v>0.83861547158556005</v>
          </cell>
          <cell r="K52" t="str">
            <v>Yes</v>
          </cell>
          <cell r="L52" t="str">
            <v>Yes</v>
          </cell>
          <cell r="M52">
            <v>0.45485331916558214</v>
          </cell>
          <cell r="N52">
            <v>0.32850638613252736</v>
          </cell>
          <cell r="O52">
            <v>8.8252999543380117E-2</v>
          </cell>
          <cell r="P52">
            <v>2.8059172892796878E-2</v>
          </cell>
          <cell r="Q52">
            <v>0.10032812226571371</v>
          </cell>
          <cell r="R52">
            <v>1.0000000000000002</v>
          </cell>
          <cell r="S52">
            <v>0.99306560797969512</v>
          </cell>
          <cell r="T52">
            <v>1</v>
          </cell>
          <cell r="U52">
            <v>0.99279445104678299</v>
          </cell>
          <cell r="V52">
            <v>0.83143008477354918</v>
          </cell>
          <cell r="W52">
            <v>0.86467189233864328</v>
          </cell>
          <cell r="X52">
            <v>0.83143008477354918</v>
          </cell>
          <cell r="Y52">
            <v>0.16294453999289407</v>
          </cell>
          <cell r="Z52">
            <v>0.13532810766135681</v>
          </cell>
          <cell r="AA52">
            <v>0.16856991522645082</v>
          </cell>
          <cell r="AE52">
            <v>0.8256592023771141</v>
          </cell>
          <cell r="AF52">
            <v>0.86467189233864328</v>
          </cell>
          <cell r="AG52">
            <v>0.82543365990843443</v>
          </cell>
          <cell r="AH52">
            <v>0.16740640560258102</v>
          </cell>
          <cell r="AI52">
            <v>0.13532810766135681</v>
          </cell>
          <cell r="AJ52">
            <v>0.16736079113834848</v>
          </cell>
          <cell r="AO52" t="str">
            <v>No</v>
          </cell>
        </row>
        <row r="53">
          <cell r="C53" t="str">
            <v>AQN</v>
          </cell>
          <cell r="E53" t="str">
            <v>BBB</v>
          </cell>
          <cell r="F53" t="str">
            <v>No</v>
          </cell>
          <cell r="G53" t="str">
            <v>Yes</v>
          </cell>
          <cell r="H53" t="str">
            <v>n/a</v>
          </cell>
          <cell r="I53">
            <v>0.99059774362448083</v>
          </cell>
          <cell r="J53">
            <v>0.99059774362448083</v>
          </cell>
          <cell r="S53">
            <v>0.86551299366198009</v>
          </cell>
          <cell r="T53">
            <v>0.93528244576371655</v>
          </cell>
          <cell r="U53">
            <v>0.65280929033373358</v>
          </cell>
          <cell r="AO53" t="str">
            <v>No</v>
          </cell>
        </row>
        <row r="54">
          <cell r="C54" t="str">
            <v>ALA</v>
          </cell>
          <cell r="E54" t="str">
            <v>BBB-</v>
          </cell>
          <cell r="F54" t="str">
            <v>Yes</v>
          </cell>
          <cell r="G54" t="str">
            <v>Yes</v>
          </cell>
          <cell r="H54" t="str">
            <v>n/a</v>
          </cell>
          <cell r="I54">
            <v>1.128738</v>
          </cell>
          <cell r="J54">
            <v>1.128738</v>
          </cell>
          <cell r="S54">
            <v>0.46965984711985009</v>
          </cell>
          <cell r="T54">
            <v>0.4135829551322136</v>
          </cell>
          <cell r="U54">
            <v>0.67671929851792567</v>
          </cell>
          <cell r="AO54" t="str">
            <v>No</v>
          </cell>
        </row>
        <row r="55">
          <cell r="C55" t="str">
            <v>CU</v>
          </cell>
          <cell r="E55" t="str">
            <v>NR</v>
          </cell>
          <cell r="F55" t="str">
            <v>Yes</v>
          </cell>
          <cell r="G55" t="str">
            <v>Yes</v>
          </cell>
          <cell r="H55" t="str">
            <v>n/a</v>
          </cell>
          <cell r="I55">
            <v>0.84044560000000001</v>
          </cell>
          <cell r="J55">
            <v>0.84044560000000001</v>
          </cell>
          <cell r="K55" t="str">
            <v>Yes</v>
          </cell>
          <cell r="L55" t="str">
            <v>No</v>
          </cell>
          <cell r="M55">
            <v>0</v>
          </cell>
          <cell r="N55" t="str">
            <v>n/a</v>
          </cell>
          <cell r="O55" t="str">
            <v>n/a</v>
          </cell>
          <cell r="P55" t="str">
            <v>n/a</v>
          </cell>
          <cell r="Q55">
            <v>0</v>
          </cell>
          <cell r="R55" t="str">
            <v>n/a</v>
          </cell>
          <cell r="S55">
            <v>0.87061599230131204</v>
          </cell>
          <cell r="T55">
            <v>1.0510255537817919</v>
          </cell>
          <cell r="U55">
            <v>0.89696575535843459</v>
          </cell>
          <cell r="AO55" t="str">
            <v>No</v>
          </cell>
        </row>
        <row r="56">
          <cell r="C56" t="str">
            <v>EMA</v>
          </cell>
          <cell r="E56" t="str">
            <v>BBB</v>
          </cell>
          <cell r="F56" t="str">
            <v>Yes</v>
          </cell>
          <cell r="G56" t="str">
            <v>Yes</v>
          </cell>
          <cell r="H56">
            <v>0.7</v>
          </cell>
          <cell r="I56">
            <v>0.69523330000000005</v>
          </cell>
          <cell r="J56">
            <v>0.69761665000000006</v>
          </cell>
          <cell r="K56" t="str">
            <v>Yes</v>
          </cell>
          <cell r="L56" t="str">
            <v>Yes</v>
          </cell>
          <cell r="M56">
            <v>0.63189933624392147</v>
          </cell>
          <cell r="N56">
            <v>0.28963901607922476</v>
          </cell>
          <cell r="O56">
            <v>0</v>
          </cell>
          <cell r="P56">
            <v>0</v>
          </cell>
          <cell r="Q56">
            <v>7.8461647676853721E-2</v>
          </cell>
          <cell r="R56">
            <v>0.99999999999999989</v>
          </cell>
          <cell r="S56">
            <v>0.99294941282952653</v>
          </cell>
          <cell r="T56">
            <v>1.0127492559162068</v>
          </cell>
          <cell r="U56">
            <v>0.97828385535820972</v>
          </cell>
          <cell r="AO56" t="str">
            <v>No</v>
          </cell>
        </row>
        <row r="57">
          <cell r="C57" t="str">
            <v>ENB</v>
          </cell>
          <cell r="E57" t="str">
            <v>BBB+</v>
          </cell>
          <cell r="F57" t="str">
            <v>Yes</v>
          </cell>
          <cell r="G57" t="str">
            <v>Yes</v>
          </cell>
          <cell r="H57">
            <v>0.85</v>
          </cell>
          <cell r="I57">
            <v>0.93013920000000005</v>
          </cell>
          <cell r="J57">
            <v>0.89006960000000002</v>
          </cell>
          <cell r="K57" t="str">
            <v>No</v>
          </cell>
          <cell r="L57" t="str">
            <v>No</v>
          </cell>
          <cell r="M57">
            <v>0</v>
          </cell>
          <cell r="N57" t="str">
            <v>n/a</v>
          </cell>
          <cell r="O57" t="str">
            <v>n/a</v>
          </cell>
          <cell r="P57" t="str">
            <v>n/a</v>
          </cell>
          <cell r="Q57">
            <v>0</v>
          </cell>
          <cell r="R57" t="str">
            <v>n/a</v>
          </cell>
          <cell r="S57">
            <v>0.11630568342994822</v>
          </cell>
          <cell r="T57">
            <v>0.15473029778752881</v>
          </cell>
          <cell r="U57">
            <v>0.16996434785307546</v>
          </cell>
          <cell r="AO57" t="str">
            <v>No</v>
          </cell>
        </row>
        <row r="58">
          <cell r="C58" t="str">
            <v>FTS</v>
          </cell>
          <cell r="E58" t="str">
            <v>A-</v>
          </cell>
          <cell r="F58" t="str">
            <v>Yes</v>
          </cell>
          <cell r="G58" t="str">
            <v>Yes</v>
          </cell>
          <cell r="H58">
            <v>0.7</v>
          </cell>
          <cell r="I58">
            <v>0.70816069999999998</v>
          </cell>
          <cell r="J58">
            <v>0.70408034999999991</v>
          </cell>
          <cell r="K58" t="str">
            <v>Yes</v>
          </cell>
          <cell r="L58" t="str">
            <v>Yes</v>
          </cell>
          <cell r="M58">
            <v>0.55166481094626407</v>
          </cell>
          <cell r="N58">
            <v>0.42482430592934162</v>
          </cell>
          <cell r="O58">
            <v>0</v>
          </cell>
          <cell r="P58">
            <v>7.6770230610267087E-3</v>
          </cell>
          <cell r="Q58">
            <v>1.5833860063367591E-2</v>
          </cell>
          <cell r="R58">
            <v>1</v>
          </cell>
          <cell r="S58">
            <v>0.98870156835739509</v>
          </cell>
          <cell r="T58">
            <v>0.99171116756536393</v>
          </cell>
          <cell r="U58">
            <v>0.98432914815892902</v>
          </cell>
          <cell r="AO58" t="str">
            <v>No</v>
          </cell>
        </row>
        <row r="59">
          <cell r="C59" t="str">
            <v>H</v>
          </cell>
          <cell r="E59" t="str">
            <v>A-</v>
          </cell>
          <cell r="F59" t="str">
            <v>Yes</v>
          </cell>
          <cell r="G59" t="str">
            <v>Yes</v>
          </cell>
          <cell r="H59" t="str">
            <v>n/a</v>
          </cell>
          <cell r="I59">
            <v>0.66303120000000004</v>
          </cell>
          <cell r="J59">
            <v>0.66303120000000004</v>
          </cell>
          <cell r="S59">
            <v>0.99425378927982633</v>
          </cell>
          <cell r="T59">
            <v>1.0178638314736059</v>
          </cell>
          <cell r="U59">
            <v>0.97216868619680807</v>
          </cell>
          <cell r="AO59" t="str">
            <v>No</v>
          </cell>
        </row>
        <row r="60">
          <cell r="C60" t="str">
            <v>TRP</v>
          </cell>
          <cell r="E60" t="str">
            <v>BBB+</v>
          </cell>
          <cell r="F60" t="str">
            <v>Yes</v>
          </cell>
          <cell r="G60" t="str">
            <v>Yes</v>
          </cell>
          <cell r="H60">
            <v>1.05</v>
          </cell>
          <cell r="I60">
            <v>0.96315079999999997</v>
          </cell>
          <cell r="J60">
            <v>1.0065754</v>
          </cell>
          <cell r="K60" t="str">
            <v>Yes</v>
          </cell>
          <cell r="L60" t="str">
            <v>No</v>
          </cell>
          <cell r="M60">
            <v>0</v>
          </cell>
          <cell r="N60" t="str">
            <v>n/a</v>
          </cell>
          <cell r="O60" t="str">
            <v>n/a</v>
          </cell>
          <cell r="P60" t="str">
            <v>n/a</v>
          </cell>
          <cell r="Q60">
            <v>0</v>
          </cell>
          <cell r="R60" t="str">
            <v>n/a</v>
          </cell>
          <cell r="S60">
            <v>0.72450728280730115</v>
          </cell>
          <cell r="T60">
            <v>0.6853243291583716</v>
          </cell>
          <cell r="U60">
            <v>0.6716488769366572</v>
          </cell>
          <cell r="AO60" t="str">
            <v>Yes</v>
          </cell>
        </row>
        <row r="61">
          <cell r="C61" t="str">
            <v>AWK</v>
          </cell>
          <cell r="E61" t="str">
            <v>A</v>
          </cell>
          <cell r="F61" t="str">
            <v>Yes</v>
          </cell>
          <cell r="G61" t="str">
            <v>Yes</v>
          </cell>
          <cell r="H61">
            <v>0.9</v>
          </cell>
          <cell r="I61">
            <v>0.94951157841334555</v>
          </cell>
          <cell r="J61">
            <v>0.92475578920667278</v>
          </cell>
          <cell r="K61" t="str">
            <v>No</v>
          </cell>
          <cell r="L61" t="str">
            <v>No</v>
          </cell>
          <cell r="M61" t="str">
            <v>n/a</v>
          </cell>
          <cell r="N61" t="str">
            <v>n/a</v>
          </cell>
          <cell r="O61" t="str">
            <v>n/a</v>
          </cell>
          <cell r="P61" t="str">
            <v>n/a</v>
          </cell>
          <cell r="Q61" t="str">
            <v>n/a</v>
          </cell>
          <cell r="R61" t="str">
            <v>n/a</v>
          </cell>
          <cell r="S61">
            <v>0.88239270791278301</v>
          </cell>
          <cell r="T61">
            <v>0.8621951219512195</v>
          </cell>
          <cell r="U61">
            <v>0.89995580845252421</v>
          </cell>
          <cell r="AB61">
            <v>1</v>
          </cell>
          <cell r="AC61">
            <v>1</v>
          </cell>
          <cell r="AD61">
            <v>1</v>
          </cell>
          <cell r="AK61">
            <v>0.88239270791278301</v>
          </cell>
          <cell r="AL61">
            <v>0.8621951219512195</v>
          </cell>
          <cell r="AM61">
            <v>0.89995580845252421</v>
          </cell>
          <cell r="AO61" t="str">
            <v>No</v>
          </cell>
        </row>
        <row r="62">
          <cell r="C62" t="str">
            <v>AWR</v>
          </cell>
          <cell r="E62" t="str">
            <v>A</v>
          </cell>
          <cell r="F62" t="str">
            <v>Yes</v>
          </cell>
          <cell r="G62" t="str">
            <v>Yes</v>
          </cell>
          <cell r="H62">
            <v>0.65</v>
          </cell>
          <cell r="I62">
            <v>0.63058817534691425</v>
          </cell>
          <cell r="J62">
            <v>0.64029408767345708</v>
          </cell>
          <cell r="K62" t="str">
            <v>No</v>
          </cell>
          <cell r="L62" t="str">
            <v>No</v>
          </cell>
          <cell r="M62" t="str">
            <v>n/a</v>
          </cell>
          <cell r="N62" t="str">
            <v>n/a</v>
          </cell>
          <cell r="O62" t="str">
            <v>n/a</v>
          </cell>
          <cell r="P62" t="str">
            <v>n/a</v>
          </cell>
          <cell r="Q62" t="str">
            <v>n/a</v>
          </cell>
          <cell r="R62" t="str">
            <v>n/a</v>
          </cell>
          <cell r="S62">
            <v>0.76667030864924124</v>
          </cell>
          <cell r="T62">
            <v>0.83032268262146547</v>
          </cell>
          <cell r="U62">
            <v>0.98240212383689318</v>
          </cell>
          <cell r="AB62">
            <v>0.89825182525846525</v>
          </cell>
          <cell r="AC62">
            <v>0.90044772138551721</v>
          </cell>
          <cell r="AD62">
            <v>0.9401243341038833</v>
          </cell>
          <cell r="AK62">
            <v>0.68865436702707683</v>
          </cell>
          <cell r="AL62">
            <v>0.7477194353512755</v>
          </cell>
          <cell r="AM62">
            <v>0.9235797774040323</v>
          </cell>
          <cell r="AO62" t="str">
            <v>No</v>
          </cell>
        </row>
        <row r="63">
          <cell r="C63" t="str">
            <v>CWT</v>
          </cell>
          <cell r="E63" t="str">
            <v>A+</v>
          </cell>
          <cell r="F63" t="str">
            <v>Yes</v>
          </cell>
          <cell r="G63" t="str">
            <v>Yes</v>
          </cell>
          <cell r="H63">
            <v>0.7</v>
          </cell>
          <cell r="I63">
            <v>0.66122739985292567</v>
          </cell>
          <cell r="J63">
            <v>0.68061369992646281</v>
          </cell>
          <cell r="K63" t="str">
            <v>No</v>
          </cell>
          <cell r="L63" t="str">
            <v>No</v>
          </cell>
          <cell r="M63" t="str">
            <v>n/a</v>
          </cell>
          <cell r="N63" t="str">
            <v>n/a</v>
          </cell>
          <cell r="O63" t="str">
            <v>n/a</v>
          </cell>
          <cell r="P63" t="str">
            <v>n/a</v>
          </cell>
          <cell r="Q63" t="str">
            <v>n/a</v>
          </cell>
          <cell r="R63" t="str">
            <v>n/a</v>
          </cell>
          <cell r="S63">
            <v>0.97554907917413869</v>
          </cell>
          <cell r="T63">
            <v>0.97979949337866612</v>
          </cell>
          <cell r="U63">
            <v>1</v>
          </cell>
          <cell r="AB63">
            <v>1</v>
          </cell>
          <cell r="AC63">
            <v>1</v>
          </cell>
          <cell r="AD63">
            <v>1</v>
          </cell>
          <cell r="AK63">
            <v>0.97554907917413869</v>
          </cell>
          <cell r="AL63">
            <v>0.98932023355242971</v>
          </cell>
          <cell r="AM63">
            <v>1</v>
          </cell>
          <cell r="AO63" t="str">
            <v>No</v>
          </cell>
        </row>
        <row r="64">
          <cell r="C64" t="str">
            <v>MSEX</v>
          </cell>
          <cell r="E64" t="str">
            <v>A</v>
          </cell>
          <cell r="F64" t="str">
            <v>Yes</v>
          </cell>
          <cell r="G64" t="str">
            <v>Yes</v>
          </cell>
          <cell r="H64">
            <v>0.7</v>
          </cell>
          <cell r="I64">
            <v>0.77017891010895323</v>
          </cell>
          <cell r="J64">
            <v>0.73508945505447665</v>
          </cell>
          <cell r="K64" t="str">
            <v>No</v>
          </cell>
          <cell r="L64" t="str">
            <v>No</v>
          </cell>
          <cell r="M64" t="str">
            <v>n/a</v>
          </cell>
          <cell r="N64" t="str">
            <v>n/a</v>
          </cell>
          <cell r="O64" t="str">
            <v>n/a</v>
          </cell>
          <cell r="P64" t="str">
            <v>n/a</v>
          </cell>
          <cell r="Q64" t="str">
            <v>n/a</v>
          </cell>
          <cell r="R64" t="str">
            <v>n/a</v>
          </cell>
          <cell r="S64">
            <v>0.91864468188999793</v>
          </cell>
          <cell r="T64">
            <v>0.91917800077485656</v>
          </cell>
          <cell r="U64">
            <v>1</v>
          </cell>
          <cell r="AB64">
            <v>1</v>
          </cell>
          <cell r="AC64">
            <v>1</v>
          </cell>
          <cell r="AD64">
            <v>1</v>
          </cell>
          <cell r="AK64">
            <v>0.91864468188999793</v>
          </cell>
          <cell r="AL64">
            <v>0.91917800077485656</v>
          </cell>
          <cell r="AM64">
            <v>1.0098217642717853</v>
          </cell>
          <cell r="AO64" t="str">
            <v>No</v>
          </cell>
        </row>
        <row r="65">
          <cell r="C65" t="str">
            <v>SJW</v>
          </cell>
          <cell r="E65" t="str">
            <v>A-</v>
          </cell>
          <cell r="F65" t="str">
            <v>Yes</v>
          </cell>
          <cell r="G65" t="str">
            <v>Yes</v>
          </cell>
          <cell r="H65">
            <v>0.8</v>
          </cell>
          <cell r="I65">
            <v>0.79296400440919834</v>
          </cell>
          <cell r="J65">
            <v>0.79648200220459919</v>
          </cell>
          <cell r="K65" t="str">
            <v>No</v>
          </cell>
          <cell r="L65" t="str">
            <v>No</v>
          </cell>
          <cell r="M65" t="str">
            <v>n/a</v>
          </cell>
          <cell r="N65" t="str">
            <v>n/a</v>
          </cell>
          <cell r="O65" t="str">
            <v>n/a</v>
          </cell>
          <cell r="P65" t="str">
            <v>n/a</v>
          </cell>
          <cell r="Q65" t="str">
            <v>n/a</v>
          </cell>
          <cell r="R65" t="str">
            <v>n/a</v>
          </cell>
          <cell r="S65">
            <v>0.97172060212825906</v>
          </cell>
          <cell r="T65">
            <v>0.9870138731847361</v>
          </cell>
          <cell r="U65">
            <v>0.96793677334393902</v>
          </cell>
          <cell r="AB65">
            <v>1</v>
          </cell>
          <cell r="AC65">
            <v>1</v>
          </cell>
          <cell r="AD65">
            <v>1</v>
          </cell>
          <cell r="AK65">
            <v>0.97172060212825906</v>
          </cell>
          <cell r="AL65">
            <v>0.9870138731847361</v>
          </cell>
          <cell r="AM65">
            <v>0.96793677334393902</v>
          </cell>
          <cell r="AO65" t="str">
            <v>No</v>
          </cell>
        </row>
        <row r="66">
          <cell r="C66" t="str">
            <v>WTRG</v>
          </cell>
          <cell r="E66" t="str">
            <v>A</v>
          </cell>
          <cell r="F66" t="str">
            <v>Yes</v>
          </cell>
          <cell r="G66" t="str">
            <v>Yes</v>
          </cell>
          <cell r="H66">
            <v>0.95</v>
          </cell>
          <cell r="I66">
            <v>0.91092907437179071</v>
          </cell>
          <cell r="J66">
            <v>0.93046453718589528</v>
          </cell>
          <cell r="K66" t="str">
            <v>No</v>
          </cell>
          <cell r="L66" t="str">
            <v>No</v>
          </cell>
          <cell r="M66" t="str">
            <v>n/a</v>
          </cell>
          <cell r="N66" t="str">
            <v>n/a</v>
          </cell>
          <cell r="O66" t="str">
            <v>n/a</v>
          </cell>
          <cell r="P66" t="str">
            <v>n/a</v>
          </cell>
          <cell r="Q66" t="str">
            <v>n/a</v>
          </cell>
          <cell r="R66" t="str">
            <v>n/a</v>
          </cell>
          <cell r="S66">
            <v>0.98025083515294709</v>
          </cell>
          <cell r="T66">
            <v>0.99031228743770028</v>
          </cell>
          <cell r="U66">
            <v>0.97116537032389394</v>
          </cell>
          <cell r="AB66">
            <v>0.55619595865583038</v>
          </cell>
          <cell r="AC66">
            <v>0.74585264433511667</v>
          </cell>
          <cell r="AD66">
            <v>0.58511754777132097</v>
          </cell>
          <cell r="AK66">
            <v>0.54562333251858386</v>
          </cell>
          <cell r="AL66">
            <v>0.75210058273459202</v>
          </cell>
          <cell r="AM66">
            <v>0.56818607766372342</v>
          </cell>
          <cell r="AO66" t="str">
            <v>No</v>
          </cell>
        </row>
        <row r="67">
          <cell r="C67" t="str">
            <v>YORW</v>
          </cell>
          <cell r="E67" t="str">
            <v>A-</v>
          </cell>
          <cell r="F67" t="str">
            <v>Yes</v>
          </cell>
          <cell r="G67" t="str">
            <v>No</v>
          </cell>
          <cell r="H67">
            <v>0.8</v>
          </cell>
          <cell r="I67">
            <v>0.80807140005971934</v>
          </cell>
          <cell r="J67">
            <v>0.80403570002985969</v>
          </cell>
          <cell r="K67" t="str">
            <v>No</v>
          </cell>
          <cell r="L67" t="str">
            <v>No</v>
          </cell>
          <cell r="M67" t="str">
            <v>n/a</v>
          </cell>
          <cell r="N67" t="str">
            <v>n/a</v>
          </cell>
          <cell r="O67" t="str">
            <v>n/a</v>
          </cell>
          <cell r="P67" t="str">
            <v>n/a</v>
          </cell>
          <cell r="Q67" t="str">
            <v>n/a</v>
          </cell>
          <cell r="R67" t="str">
            <v>n/a</v>
          </cell>
          <cell r="S67">
            <v>1</v>
          </cell>
          <cell r="T67">
            <v>1</v>
          </cell>
          <cell r="U67">
            <v>1</v>
          </cell>
          <cell r="AB67">
            <v>1</v>
          </cell>
          <cell r="AC67">
            <v>1</v>
          </cell>
          <cell r="AD67">
            <v>1</v>
          </cell>
          <cell r="AK67">
            <v>1</v>
          </cell>
          <cell r="AL67">
            <v>1</v>
          </cell>
          <cell r="AM67">
            <v>1</v>
          </cell>
          <cell r="AO67" t="str">
            <v>No</v>
          </cell>
        </row>
      </sheetData>
      <sheetData sheetId="9">
        <row r="5">
          <cell r="C5" t="str">
            <v>ATO</v>
          </cell>
          <cell r="E5">
            <v>7.4999999999999997E-2</v>
          </cell>
          <cell r="F5">
            <v>7.2999999999999995E-2</v>
          </cell>
          <cell r="G5">
            <v>7.5036699999999998E-2</v>
          </cell>
          <cell r="H5">
            <v>7.0000000000000007E-2</v>
          </cell>
          <cell r="I5">
            <v>7.4999999999999997E-2</v>
          </cell>
          <cell r="J5">
            <v>0.05</v>
          </cell>
          <cell r="S5">
            <v>4.3283333333333333E-2</v>
          </cell>
          <cell r="AE5">
            <v>7.4896499985644155E-2</v>
          </cell>
        </row>
        <row r="6">
          <cell r="C6" t="str">
            <v>CPK</v>
          </cell>
          <cell r="E6">
            <v>7.0000000000000007E-2</v>
          </cell>
          <cell r="F6" t="str">
            <v>n/a</v>
          </cell>
          <cell r="G6">
            <v>8.0500000000000002E-2</v>
          </cell>
          <cell r="H6">
            <v>0.06</v>
          </cell>
          <cell r="I6">
            <v>8.5000000000000006E-2</v>
          </cell>
          <cell r="J6">
            <v>6.5000000000000002E-2</v>
          </cell>
          <cell r="S6">
            <v>5.2772222222222213E-2</v>
          </cell>
          <cell r="AE6">
            <v>0.13133498328644633</v>
          </cell>
        </row>
        <row r="7">
          <cell r="C7" t="str">
            <v>NJR</v>
          </cell>
          <cell r="E7">
            <v>0.06</v>
          </cell>
          <cell r="F7">
            <v>0.06</v>
          </cell>
          <cell r="G7">
            <v>6.8000000000000005E-2</v>
          </cell>
          <cell r="H7">
            <v>0.05</v>
          </cell>
          <cell r="I7">
            <v>0.05</v>
          </cell>
          <cell r="J7">
            <v>4.4999999999999998E-2</v>
          </cell>
          <cell r="S7">
            <v>4.8122222222222226E-2</v>
          </cell>
          <cell r="AE7">
            <v>6.0987903235440441E-2</v>
          </cell>
        </row>
        <row r="8">
          <cell r="C8" t="str">
            <v>NI</v>
          </cell>
          <cell r="E8">
            <v>6.7000000000000004E-2</v>
          </cell>
          <cell r="F8">
            <v>7.0000000000000007E-2</v>
          </cell>
          <cell r="G8">
            <v>7.0000000000000007E-2</v>
          </cell>
          <cell r="H8">
            <v>9.5000000000000001E-2</v>
          </cell>
          <cell r="I8">
            <v>4.4999999999999998E-2</v>
          </cell>
          <cell r="J8">
            <v>0.05</v>
          </cell>
          <cell r="S8">
            <v>3.9333333333333338E-2</v>
          </cell>
          <cell r="AE8">
            <v>4.7957919588067263E-2</v>
          </cell>
        </row>
        <row r="9">
          <cell r="C9" t="str">
            <v>NWN</v>
          </cell>
          <cell r="E9">
            <v>2.8000000000000001E-2</v>
          </cell>
          <cell r="F9">
            <v>3.6999999999999998E-2</v>
          </cell>
          <cell r="G9">
            <v>5.0999999999999997E-2</v>
          </cell>
          <cell r="H9">
            <v>6.5000000000000002E-2</v>
          </cell>
          <cell r="I9">
            <v>5.0000000000000001E-3</v>
          </cell>
          <cell r="J9">
            <v>0.04</v>
          </cell>
          <cell r="S9">
            <v>2.558888888888889E-2</v>
          </cell>
          <cell r="AE9">
            <v>4.5180058181944413E-2</v>
          </cell>
        </row>
        <row r="10">
          <cell r="C10" t="str">
            <v>OGS</v>
          </cell>
          <cell r="E10">
            <v>0.05</v>
          </cell>
          <cell r="F10">
            <v>0.05</v>
          </cell>
          <cell r="G10">
            <v>0.06</v>
          </cell>
          <cell r="H10">
            <v>6.5000000000000002E-2</v>
          </cell>
          <cell r="I10">
            <v>5.5E-2</v>
          </cell>
          <cell r="J10">
            <v>6.5000000000000002E-2</v>
          </cell>
          <cell r="S10">
            <v>3.2777777777777774E-2</v>
          </cell>
          <cell r="AE10">
            <v>3.8313440976040516E-2</v>
          </cell>
        </row>
        <row r="11">
          <cell r="C11" t="str">
            <v>SJI</v>
          </cell>
          <cell r="E11" t="str">
            <v>n/a</v>
          </cell>
          <cell r="F11" t="str">
            <v>n/a</v>
          </cell>
          <cell r="G11" t="str">
            <v>n/a</v>
          </cell>
          <cell r="H11" t="str">
            <v>n/a</v>
          </cell>
          <cell r="I11" t="str">
            <v>n/a</v>
          </cell>
          <cell r="J11" t="str">
            <v>n/a</v>
          </cell>
          <cell r="S11" t="e">
            <v>#DIV/0!</v>
          </cell>
          <cell r="AE11" t="e">
            <v>#DIV/0!</v>
          </cell>
        </row>
        <row r="12">
          <cell r="C12" t="str">
            <v>SWX</v>
          </cell>
          <cell r="E12">
            <v>0.04</v>
          </cell>
          <cell r="F12">
            <v>0.05</v>
          </cell>
          <cell r="G12" t="str">
            <v>n/a</v>
          </cell>
          <cell r="H12">
            <v>0.1</v>
          </cell>
          <cell r="I12">
            <v>5.5E-2</v>
          </cell>
          <cell r="J12">
            <v>7.4999999999999997E-2</v>
          </cell>
          <cell r="S12">
            <v>1.7777777777777781E-2</v>
          </cell>
          <cell r="AE12">
            <v>2.4311456931449014E-2</v>
          </cell>
        </row>
        <row r="13">
          <cell r="C13" t="str">
            <v>SR</v>
          </cell>
          <cell r="E13" t="str">
            <v>n/a</v>
          </cell>
          <cell r="F13">
            <v>4.2000000000000003E-2</v>
          </cell>
          <cell r="G13">
            <v>0.04</v>
          </cell>
          <cell r="H13">
            <v>0.08</v>
          </cell>
          <cell r="I13">
            <v>0.05</v>
          </cell>
          <cell r="J13">
            <v>6.5000000000000002E-2</v>
          </cell>
          <cell r="S13">
            <v>2.3200000000000002E-2</v>
          </cell>
          <cell r="AE13">
            <v>2.7783161177717085E-2</v>
          </cell>
        </row>
        <row r="14">
          <cell r="C14" t="str">
            <v>UGI</v>
          </cell>
          <cell r="E14">
            <v>5.7500000000000002E-2</v>
          </cell>
          <cell r="F14">
            <v>0.08</v>
          </cell>
          <cell r="G14">
            <v>4.4999999999999998E-2</v>
          </cell>
          <cell r="H14">
            <v>6.5000000000000002E-2</v>
          </cell>
          <cell r="I14">
            <v>3.5000000000000003E-2</v>
          </cell>
          <cell r="J14">
            <v>0.09</v>
          </cell>
          <cell r="S14">
            <v>6.9627777777777788E-2</v>
          </cell>
          <cell r="AE14">
            <v>6.9107924136269441E-2</v>
          </cell>
        </row>
        <row r="15">
          <cell r="C15" t="str">
            <v>ALE</v>
          </cell>
          <cell r="E15">
            <v>8.1000000000000003E-2</v>
          </cell>
          <cell r="F15">
            <v>8.1000000000000003E-2</v>
          </cell>
          <cell r="G15">
            <v>8.1027600000000005E-2</v>
          </cell>
          <cell r="H15">
            <v>0.06</v>
          </cell>
          <cell r="I15">
            <v>3.5000000000000003E-2</v>
          </cell>
          <cell r="J15">
            <v>3.5000000000000003E-2</v>
          </cell>
          <cell r="S15">
            <v>2.8055555555555563E-2</v>
          </cell>
          <cell r="AE15">
            <v>3.7938370829181563E-2</v>
          </cell>
        </row>
        <row r="16">
          <cell r="C16" t="str">
            <v>LNT</v>
          </cell>
          <cell r="E16">
            <v>7.0000000000000007E-2</v>
          </cell>
          <cell r="F16">
            <v>6.5000000000000002E-2</v>
          </cell>
          <cell r="G16">
            <v>0.06</v>
          </cell>
          <cell r="H16">
            <v>6.5000000000000002E-2</v>
          </cell>
          <cell r="I16">
            <v>0.06</v>
          </cell>
          <cell r="J16">
            <v>0.05</v>
          </cell>
          <cell r="S16">
            <v>4.3177777777777773E-2</v>
          </cell>
          <cell r="AE16">
            <v>4.8700203445532719E-2</v>
          </cell>
        </row>
        <row r="17">
          <cell r="C17" t="str">
            <v>AEE</v>
          </cell>
          <cell r="E17">
            <v>5.8999999999999997E-2</v>
          </cell>
          <cell r="F17">
            <v>6.4000000000000001E-2</v>
          </cell>
          <cell r="G17">
            <v>7.0000000000000007E-2</v>
          </cell>
          <cell r="H17">
            <v>6.5000000000000002E-2</v>
          </cell>
          <cell r="I17">
            <v>6.5000000000000002E-2</v>
          </cell>
          <cell r="J17">
            <v>6.5000000000000002E-2</v>
          </cell>
          <cell r="S17">
            <v>4.515555555555556E-2</v>
          </cell>
          <cell r="AE17">
            <v>6.2126895104492819E-2</v>
          </cell>
        </row>
        <row r="18">
          <cell r="C18" t="str">
            <v>AEP</v>
          </cell>
          <cell r="E18">
            <v>5.1999999999999998E-2</v>
          </cell>
          <cell r="F18">
            <v>5.6000000000000001E-2</v>
          </cell>
          <cell r="G18">
            <v>0.06</v>
          </cell>
          <cell r="H18">
            <v>0.06</v>
          </cell>
          <cell r="I18">
            <v>5.5E-2</v>
          </cell>
          <cell r="J18">
            <v>0.06</v>
          </cell>
          <cell r="S18">
            <v>3.8922222222222212E-2</v>
          </cell>
          <cell r="AE18">
            <v>5.2035842241591648E-2</v>
          </cell>
        </row>
        <row r="19">
          <cell r="C19" t="str">
            <v>AGR</v>
          </cell>
          <cell r="E19" t="str">
            <v>negative</v>
          </cell>
          <cell r="F19">
            <v>4.3999999999999997E-2</v>
          </cell>
          <cell r="G19">
            <v>5.5999999999999994E-2</v>
          </cell>
          <cell r="H19">
            <v>0.04</v>
          </cell>
          <cell r="I19">
            <v>1.4999999999999999E-2</v>
          </cell>
          <cell r="J19">
            <v>0.01</v>
          </cell>
          <cell r="S19">
            <v>9.7500000000000069E-3</v>
          </cell>
          <cell r="AE19">
            <v>9.747305292448329E-3</v>
          </cell>
        </row>
        <row r="20">
          <cell r="C20" t="str">
            <v>AVA</v>
          </cell>
          <cell r="E20">
            <v>6.3E-2</v>
          </cell>
          <cell r="F20">
            <v>6.3E-2</v>
          </cell>
          <cell r="G20">
            <v>5.0999999999999997E-2</v>
          </cell>
          <cell r="H20">
            <v>6.5000000000000002E-2</v>
          </cell>
          <cell r="I20">
            <v>0.04</v>
          </cell>
          <cell r="J20">
            <v>3.5000000000000003E-2</v>
          </cell>
          <cell r="S20">
            <v>1.7500000000000005E-2</v>
          </cell>
          <cell r="AE20">
            <v>3.3064874226158336E-2</v>
          </cell>
        </row>
        <row r="21">
          <cell r="C21" t="str">
            <v>BKH</v>
          </cell>
          <cell r="E21">
            <v>5.3999999999999999E-2</v>
          </cell>
          <cell r="F21">
            <v>2.1999999999999999E-2</v>
          </cell>
          <cell r="G21">
            <v>3.6495600000000003E-2</v>
          </cell>
          <cell r="H21">
            <v>0.03</v>
          </cell>
          <cell r="I21">
            <v>4.4999999999999998E-2</v>
          </cell>
          <cell r="J21">
            <v>0.04</v>
          </cell>
          <cell r="S21">
            <v>2.6133333333333335E-2</v>
          </cell>
          <cell r="AE21">
            <v>3.3335829441049285E-2</v>
          </cell>
        </row>
        <row r="22">
          <cell r="C22" t="str">
            <v>CNP</v>
          </cell>
          <cell r="E22" t="str">
            <v>negative</v>
          </cell>
          <cell r="F22">
            <v>7.4999999999999997E-2</v>
          </cell>
          <cell r="G22">
            <v>0.08</v>
          </cell>
          <cell r="H22">
            <v>6.5000000000000002E-2</v>
          </cell>
          <cell r="I22">
            <v>2.5000000000000001E-2</v>
          </cell>
          <cell r="J22">
            <v>0.06</v>
          </cell>
          <cell r="S22">
            <v>5.0333333333333348E-2</v>
          </cell>
          <cell r="AE22">
            <v>5.109413065553442E-2</v>
          </cell>
        </row>
        <row r="23">
          <cell r="C23" t="str">
            <v>CMS</v>
          </cell>
          <cell r="E23">
            <v>7.8E-2</v>
          </cell>
          <cell r="F23">
            <v>7.8E-2</v>
          </cell>
          <cell r="G23">
            <v>0.08</v>
          </cell>
          <cell r="H23">
            <v>6.5000000000000002E-2</v>
          </cell>
          <cell r="I23">
            <v>0.06</v>
          </cell>
          <cell r="J23">
            <v>7.0000000000000007E-2</v>
          </cell>
          <cell r="S23">
            <v>4.8533333333333345E-2</v>
          </cell>
          <cell r="AE23">
            <v>5.7419089523236627E-2</v>
          </cell>
        </row>
        <row r="24">
          <cell r="C24" t="str">
            <v>ED</v>
          </cell>
          <cell r="E24">
            <v>6.1199999999999997E-2</v>
          </cell>
          <cell r="F24">
            <v>0.02</v>
          </cell>
          <cell r="G24">
            <v>5.8499999999999996E-2</v>
          </cell>
          <cell r="H24">
            <v>0.06</v>
          </cell>
          <cell r="I24">
            <v>3.5000000000000003E-2</v>
          </cell>
          <cell r="J24">
            <v>0.03</v>
          </cell>
          <cell r="S24">
            <v>3.0911111111111104E-2</v>
          </cell>
          <cell r="AE24">
            <v>2.7091965030411815E-2</v>
          </cell>
        </row>
        <row r="25">
          <cell r="C25" t="str">
            <v>D</v>
          </cell>
          <cell r="E25">
            <v>0.09</v>
          </cell>
          <cell r="F25">
            <v>0.2</v>
          </cell>
          <cell r="G25" t="str">
            <v>Negative</v>
          </cell>
          <cell r="H25">
            <v>2.5000000000000001E-2</v>
          </cell>
          <cell r="I25">
            <v>0.02</v>
          </cell>
          <cell r="J25">
            <v>4.4999999999999998E-2</v>
          </cell>
          <cell r="S25">
            <v>3.2999999999999995E-2</v>
          </cell>
          <cell r="AE25">
            <v>4.0514026955065806E-2</v>
          </cell>
        </row>
        <row r="26">
          <cell r="C26" t="str">
            <v>DTE</v>
          </cell>
          <cell r="E26">
            <v>7.3999999999999996E-2</v>
          </cell>
          <cell r="F26">
            <v>0.06</v>
          </cell>
          <cell r="G26">
            <v>7.0000000000000007E-2</v>
          </cell>
          <cell r="H26">
            <v>4.4999999999999998E-2</v>
          </cell>
          <cell r="I26">
            <v>0.03</v>
          </cell>
          <cell r="J26">
            <v>0.01</v>
          </cell>
          <cell r="S26">
            <v>4.6544444444444458E-2</v>
          </cell>
          <cell r="AE26">
            <v>4.6974614381815417E-2</v>
          </cell>
        </row>
        <row r="27">
          <cell r="C27" t="str">
            <v>DUK</v>
          </cell>
          <cell r="E27">
            <v>5.9499999999999997E-2</v>
          </cell>
          <cell r="F27">
            <v>6.0999999999999999E-2</v>
          </cell>
          <cell r="G27">
            <v>6.0936899999999995E-2</v>
          </cell>
          <cell r="H27">
            <v>0.05</v>
          </cell>
          <cell r="I27">
            <v>0.02</v>
          </cell>
          <cell r="J27">
            <v>2.5000000000000001E-2</v>
          </cell>
          <cell r="S27">
            <v>2.58E-2</v>
          </cell>
          <cell r="AE27">
            <v>2.58E-2</v>
          </cell>
        </row>
        <row r="28">
          <cell r="C28" t="str">
            <v>EIX</v>
          </cell>
          <cell r="E28">
            <v>4.53E-2</v>
          </cell>
          <cell r="F28">
            <v>3.6999999999999998E-2</v>
          </cell>
          <cell r="G28">
            <v>5.5999999999999994E-2</v>
          </cell>
          <cell r="H28">
            <v>4.4999999999999998E-2</v>
          </cell>
          <cell r="I28">
            <v>0.05</v>
          </cell>
          <cell r="J28">
            <v>2.5000000000000001E-2</v>
          </cell>
          <cell r="S28">
            <v>4.8533333333333338E-2</v>
          </cell>
          <cell r="AE28">
            <v>5.4060194897008147E-2</v>
          </cell>
        </row>
        <row r="29">
          <cell r="C29" t="str">
            <v>ETR</v>
          </cell>
          <cell r="E29">
            <v>6.6000000000000003E-2</v>
          </cell>
          <cell r="F29">
            <v>5.7000000000000002E-2</v>
          </cell>
          <cell r="G29">
            <v>6.9000000000000006E-2</v>
          </cell>
          <cell r="H29">
            <v>5.0000000000000001E-3</v>
          </cell>
          <cell r="I29">
            <v>0.04</v>
          </cell>
          <cell r="J29">
            <v>0.04</v>
          </cell>
          <cell r="S29">
            <v>2.2083333333333333E-2</v>
          </cell>
          <cell r="AE29">
            <v>3.2243065667806603E-2</v>
          </cell>
        </row>
        <row r="30">
          <cell r="C30" t="str">
            <v>ES</v>
          </cell>
          <cell r="E30">
            <v>6.7000000000000004E-2</v>
          </cell>
          <cell r="F30">
            <v>5.7000000000000002E-2</v>
          </cell>
          <cell r="G30">
            <v>6.0499999999999998E-2</v>
          </cell>
          <cell r="H30">
            <v>6.5000000000000002E-2</v>
          </cell>
          <cell r="I30">
            <v>6.5000000000000002E-2</v>
          </cell>
          <cell r="J30">
            <v>4.4999999999999998E-2</v>
          </cell>
          <cell r="S30">
            <v>3.7377777777777788E-2</v>
          </cell>
          <cell r="AE30">
            <v>4.3808726410262178E-2</v>
          </cell>
        </row>
        <row r="31">
          <cell r="C31" t="str">
            <v>EXC</v>
          </cell>
          <cell r="E31">
            <v>6.3E-2</v>
          </cell>
          <cell r="F31">
            <v>6.3E-2</v>
          </cell>
          <cell r="G31">
            <v>7.0000000000000007E-2</v>
          </cell>
          <cell r="H31" t="str">
            <v>NMF</v>
          </cell>
          <cell r="I31" t="str">
            <v>NMF</v>
          </cell>
          <cell r="J31" t="str">
            <v>NMF</v>
          </cell>
          <cell r="S31">
            <v>3.9333333333333338E-2</v>
          </cell>
          <cell r="AE31">
            <v>4.0328222154825073E-2</v>
          </cell>
        </row>
        <row r="32">
          <cell r="C32" t="str">
            <v>FE</v>
          </cell>
          <cell r="E32">
            <v>6.7599999999999993E-2</v>
          </cell>
          <cell r="F32">
            <v>6.4000000000000001E-2</v>
          </cell>
          <cell r="G32">
            <v>5.2499999999999998E-2</v>
          </cell>
          <cell r="H32">
            <v>0.04</v>
          </cell>
          <cell r="I32">
            <v>4.4999999999999998E-2</v>
          </cell>
          <cell r="J32">
            <v>7.0000000000000007E-2</v>
          </cell>
          <cell r="S32">
            <v>4.8149999999999991E-2</v>
          </cell>
          <cell r="AE32">
            <v>5.4239218235934111E-2</v>
          </cell>
        </row>
        <row r="33">
          <cell r="C33" t="str">
            <v>EVRG</v>
          </cell>
          <cell r="E33">
            <v>2.6700000000000002E-2</v>
          </cell>
          <cell r="F33">
            <v>5.1999999999999998E-2</v>
          </cell>
          <cell r="G33">
            <v>5.4000000000000006E-2</v>
          </cell>
          <cell r="H33">
            <v>7.4999999999999997E-2</v>
          </cell>
          <cell r="I33">
            <v>7.0000000000000007E-2</v>
          </cell>
          <cell r="J33">
            <v>3.5000000000000003E-2</v>
          </cell>
          <cell r="S33">
            <v>3.1111111111111117E-2</v>
          </cell>
          <cell r="AE33">
            <v>3.1179778911072379E-2</v>
          </cell>
        </row>
        <row r="34">
          <cell r="C34" t="str">
            <v>HE</v>
          </cell>
          <cell r="E34">
            <v>4.2000000000000003E-2</v>
          </cell>
          <cell r="F34">
            <v>4.2000000000000003E-2</v>
          </cell>
          <cell r="G34">
            <v>3.5904600000000002E-2</v>
          </cell>
          <cell r="H34">
            <v>4.4999999999999998E-2</v>
          </cell>
          <cell r="I34">
            <v>3.5000000000000003E-2</v>
          </cell>
          <cell r="J34">
            <v>0.03</v>
          </cell>
          <cell r="S34">
            <v>3.9466666666666671E-2</v>
          </cell>
          <cell r="AE34">
            <v>4.1968476683176333E-2</v>
          </cell>
        </row>
        <row r="35">
          <cell r="C35" t="str">
            <v>IDA</v>
          </cell>
          <cell r="E35">
            <v>3.6999999999999998E-2</v>
          </cell>
          <cell r="F35">
            <v>3.6999999999999998E-2</v>
          </cell>
          <cell r="G35">
            <v>4.8390300000000004E-2</v>
          </cell>
          <cell r="H35">
            <v>0.05</v>
          </cell>
          <cell r="I35">
            <v>0.06</v>
          </cell>
          <cell r="J35">
            <v>0.04</v>
          </cell>
          <cell r="S35">
            <v>3.3305555555555554E-2</v>
          </cell>
          <cell r="AE35">
            <v>4.1857546236437941E-2</v>
          </cell>
        </row>
        <row r="36">
          <cell r="C36" t="str">
            <v>MGEE</v>
          </cell>
          <cell r="E36">
            <v>5.3999999999999999E-2</v>
          </cell>
          <cell r="F36">
            <v>5.2999999999999999E-2</v>
          </cell>
          <cell r="G36">
            <v>5.3540599999999994E-2</v>
          </cell>
          <cell r="H36" t="str">
            <v>n/a</v>
          </cell>
          <cell r="I36" t="str">
            <v>n/a</v>
          </cell>
          <cell r="J36" t="str">
            <v>n/a</v>
          </cell>
          <cell r="S36">
            <v>5.9416666666666652E-2</v>
          </cell>
          <cell r="AE36">
            <v>5.9416666666666652E-2</v>
          </cell>
        </row>
        <row r="37">
          <cell r="C37" t="str">
            <v>NEE</v>
          </cell>
          <cell r="E37">
            <v>8.7999999999999995E-2</v>
          </cell>
          <cell r="F37">
            <v>8.4000000000000005E-2</v>
          </cell>
          <cell r="G37">
            <v>8.7519200000000005E-2</v>
          </cell>
          <cell r="H37">
            <v>9.5000000000000001E-2</v>
          </cell>
          <cell r="I37">
            <v>0.1</v>
          </cell>
          <cell r="J37">
            <v>0.08</v>
          </cell>
          <cell r="S37">
            <v>5.6377777777777791E-2</v>
          </cell>
          <cell r="AE37">
            <v>7.2033509256801784E-2</v>
          </cell>
        </row>
        <row r="38">
          <cell r="C38" t="str">
            <v>NWE</v>
          </cell>
          <cell r="E38">
            <v>3.6600000000000001E-2</v>
          </cell>
          <cell r="F38">
            <v>5.1999999999999998E-2</v>
          </cell>
          <cell r="G38">
            <v>5.0999999999999997E-2</v>
          </cell>
          <cell r="H38">
            <v>3.5000000000000003E-2</v>
          </cell>
          <cell r="I38">
            <v>0.02</v>
          </cell>
          <cell r="J38">
            <v>3.5000000000000003E-2</v>
          </cell>
          <cell r="S38">
            <v>2.1750000000000005E-2</v>
          </cell>
          <cell r="AE38">
            <v>2.4272726987150575E-2</v>
          </cell>
        </row>
        <row r="39">
          <cell r="C39" t="str">
            <v>OGE</v>
          </cell>
          <cell r="E39" t="str">
            <v>negative</v>
          </cell>
          <cell r="F39">
            <v>3.6999999999999998E-2</v>
          </cell>
          <cell r="G39">
            <v>2.7999999999999997E-2</v>
          </cell>
          <cell r="H39">
            <v>6.5000000000000002E-2</v>
          </cell>
          <cell r="I39">
            <v>0.03</v>
          </cell>
          <cell r="J39">
            <v>5.5E-2</v>
          </cell>
          <cell r="S39">
            <v>3.3300000000000003E-2</v>
          </cell>
          <cell r="AE39">
            <v>3.3300000000000003E-2</v>
          </cell>
        </row>
        <row r="40">
          <cell r="C40" t="str">
            <v>OTTR</v>
          </cell>
          <cell r="E40">
            <v>0.09</v>
          </cell>
          <cell r="F40" t="str">
            <v>n/a</v>
          </cell>
          <cell r="G40">
            <v>6.7500000000000004E-2</v>
          </cell>
          <cell r="H40">
            <v>4.4999999999999998E-2</v>
          </cell>
          <cell r="I40">
            <v>7.0000000000000007E-2</v>
          </cell>
          <cell r="J40">
            <v>0.08</v>
          </cell>
          <cell r="S40">
            <v>6.08E-2</v>
          </cell>
          <cell r="AE40">
            <v>6.4521576430809066E-2</v>
          </cell>
        </row>
        <row r="41">
          <cell r="C41" t="str">
            <v>PCG</v>
          </cell>
          <cell r="E41">
            <v>4.3999999999999997E-2</v>
          </cell>
          <cell r="F41">
            <v>2.5000000000000001E-2</v>
          </cell>
          <cell r="G41">
            <v>9.6999999999999989E-2</v>
          </cell>
          <cell r="H41" t="str">
            <v>n/a</v>
          </cell>
          <cell r="I41" t="str">
            <v>n/a</v>
          </cell>
          <cell r="J41" t="str">
            <v>n/a</v>
          </cell>
          <cell r="S41" t="e">
            <v>#DIV/0!</v>
          </cell>
          <cell r="AE41" t="e">
            <v>#DIV/0!</v>
          </cell>
        </row>
        <row r="42">
          <cell r="C42" t="str">
            <v>PNW</v>
          </cell>
          <cell r="E42">
            <v>6.0999999999999999E-2</v>
          </cell>
          <cell r="F42">
            <v>6.5000000000000002E-2</v>
          </cell>
          <cell r="G42">
            <v>6.4797599999999997E-2</v>
          </cell>
          <cell r="H42">
            <v>2.5000000000000001E-2</v>
          </cell>
          <cell r="I42">
            <v>0.02</v>
          </cell>
          <cell r="J42">
            <v>0.03</v>
          </cell>
          <cell r="S42">
            <v>1.999999999999999E-2</v>
          </cell>
          <cell r="AE42">
            <v>2.7225562550640951E-2</v>
          </cell>
        </row>
        <row r="43">
          <cell r="C43" t="str">
            <v>PNM</v>
          </cell>
          <cell r="E43">
            <v>5.3699999999999998E-2</v>
          </cell>
          <cell r="F43">
            <v>4.4999999999999998E-2</v>
          </cell>
          <cell r="G43">
            <v>4.4850599999999997E-2</v>
          </cell>
          <cell r="H43">
            <v>0.05</v>
          </cell>
          <cell r="I43">
            <v>0.06</v>
          </cell>
          <cell r="J43">
            <v>0.04</v>
          </cell>
          <cell r="S43">
            <v>4.5072222222222215E-2</v>
          </cell>
          <cell r="AE43">
            <v>5.2695934969009872E-2</v>
          </cell>
        </row>
        <row r="44">
          <cell r="C44" t="str">
            <v>POR</v>
          </cell>
          <cell r="E44">
            <v>5.8999999999999997E-2</v>
          </cell>
          <cell r="F44">
            <v>0.06</v>
          </cell>
          <cell r="G44">
            <v>6.8000000000000005E-2</v>
          </cell>
          <cell r="H44">
            <v>0.05</v>
          </cell>
          <cell r="I44">
            <v>5.5E-2</v>
          </cell>
          <cell r="J44">
            <v>0.04</v>
          </cell>
          <cell r="S44">
            <v>2.8888888888888895E-2</v>
          </cell>
          <cell r="AE44">
            <v>4.59587683777571E-2</v>
          </cell>
        </row>
        <row r="45">
          <cell r="C45" t="str">
            <v>PPL</v>
          </cell>
          <cell r="E45">
            <v>0.1721</v>
          </cell>
          <cell r="F45">
            <v>7.3999999999999996E-2</v>
          </cell>
          <cell r="G45">
            <v>7.4169399999999996E-2</v>
          </cell>
          <cell r="H45">
            <v>0.08</v>
          </cell>
          <cell r="I45">
            <v>-1.4999999999999999E-2</v>
          </cell>
          <cell r="J45">
            <v>3.5000000000000003E-2</v>
          </cell>
          <cell r="S45">
            <v>3.4666666666666672E-2</v>
          </cell>
          <cell r="AE45">
            <v>3.4941332327955231E-2</v>
          </cell>
        </row>
        <row r="46">
          <cell r="C46" t="str">
            <v>PEG</v>
          </cell>
          <cell r="E46">
            <v>5.5E-2</v>
          </cell>
          <cell r="F46">
            <v>5.5E-2</v>
          </cell>
          <cell r="G46">
            <v>5.7999999999999996E-2</v>
          </cell>
          <cell r="H46">
            <v>0.04</v>
          </cell>
          <cell r="I46">
            <v>5.5E-2</v>
          </cell>
          <cell r="J46">
            <v>0.03</v>
          </cell>
          <cell r="S46">
            <v>4.5833333333333337E-2</v>
          </cell>
          <cell r="AE46">
            <v>4.7488216556662834E-2</v>
          </cell>
        </row>
        <row r="47">
          <cell r="C47" t="str">
            <v>SRE</v>
          </cell>
          <cell r="E47">
            <v>4.1399999999999999E-2</v>
          </cell>
          <cell r="F47">
            <v>0.05</v>
          </cell>
          <cell r="G47">
            <v>4.4477200000000001E-2</v>
          </cell>
          <cell r="H47">
            <v>7.0000000000000007E-2</v>
          </cell>
          <cell r="I47">
            <v>5.5E-2</v>
          </cell>
          <cell r="J47">
            <v>5.5E-2</v>
          </cell>
          <cell r="S47">
            <v>5.1999999999999998E-2</v>
          </cell>
          <cell r="AE47">
            <v>4.2825523030028151E-2</v>
          </cell>
        </row>
        <row r="48">
          <cell r="C48" t="str">
            <v>SO</v>
          </cell>
          <cell r="E48">
            <v>7.2999999999999995E-2</v>
          </cell>
          <cell r="F48">
            <v>0.04</v>
          </cell>
          <cell r="G48">
            <v>0.06</v>
          </cell>
          <cell r="H48">
            <v>6.5000000000000002E-2</v>
          </cell>
          <cell r="I48">
            <v>3.5000000000000003E-2</v>
          </cell>
          <cell r="J48">
            <v>3.5000000000000003E-2</v>
          </cell>
          <cell r="S48">
            <v>3.5549999999999998E-2</v>
          </cell>
          <cell r="AE48">
            <v>2.9802212270755524E-2</v>
          </cell>
        </row>
        <row r="49">
          <cell r="C49" t="str">
            <v>UTL</v>
          </cell>
          <cell r="E49" t="str">
            <v>n/a</v>
          </cell>
          <cell r="F49" t="str">
            <v>n/a</v>
          </cell>
          <cell r="G49">
            <v>6.5417600000000006E-2</v>
          </cell>
          <cell r="H49" t="str">
            <v>n/a</v>
          </cell>
          <cell r="I49" t="str">
            <v>n/a</v>
          </cell>
          <cell r="J49" t="str">
            <v>n/a</v>
          </cell>
          <cell r="S49" t="e">
            <v>#DIV/0!</v>
          </cell>
          <cell r="AE49" t="e">
            <v>#DIV/0!</v>
          </cell>
        </row>
        <row r="50">
          <cell r="C50" t="str">
            <v>WEC</v>
          </cell>
          <cell r="E50">
            <v>5.5E-2</v>
          </cell>
          <cell r="F50">
            <v>5.8000000000000003E-2</v>
          </cell>
          <cell r="G50">
            <v>6.0999999999999999E-2</v>
          </cell>
          <cell r="H50">
            <v>0.06</v>
          </cell>
          <cell r="I50">
            <v>7.0000000000000007E-2</v>
          </cell>
          <cell r="J50">
            <v>0.04</v>
          </cell>
          <cell r="S50">
            <v>4.222222222222223E-2</v>
          </cell>
          <cell r="AE50">
            <v>4.222222222222223E-2</v>
          </cell>
        </row>
        <row r="51">
          <cell r="C51" t="str">
            <v>XEL</v>
          </cell>
          <cell r="E51">
            <v>6.3E-2</v>
          </cell>
          <cell r="F51">
            <v>6.0999999999999999E-2</v>
          </cell>
          <cell r="G51">
            <v>0.06</v>
          </cell>
          <cell r="H51">
            <v>0.06</v>
          </cell>
          <cell r="I51">
            <v>6.5000000000000002E-2</v>
          </cell>
          <cell r="J51">
            <v>0.05</v>
          </cell>
          <cell r="S51">
            <v>4.0533333333333338E-2</v>
          </cell>
          <cell r="AE51">
            <v>4.5133229191031576E-2</v>
          </cell>
        </row>
        <row r="52">
          <cell r="C52" t="str">
            <v>AQN</v>
          </cell>
          <cell r="E52">
            <v>4.1000000000000003E-3</v>
          </cell>
          <cell r="F52">
            <v>0.03</v>
          </cell>
          <cell r="G52" t="str">
            <v>Negative</v>
          </cell>
          <cell r="H52" t="str">
            <v>n/a</v>
          </cell>
          <cell r="I52" t="str">
            <v>n/a</v>
          </cell>
          <cell r="J52" t="str">
            <v>n/a</v>
          </cell>
        </row>
        <row r="53">
          <cell r="C53" t="str">
            <v>ALA</v>
          </cell>
          <cell r="E53">
            <v>4.65E-2</v>
          </cell>
          <cell r="F53" t="str">
            <v>n/a</v>
          </cell>
          <cell r="G53">
            <v>0.06</v>
          </cell>
          <cell r="H53" t="str">
            <v>n/a</v>
          </cell>
          <cell r="I53" t="str">
            <v>n/a</v>
          </cell>
          <cell r="J53" t="str">
            <v>n/a</v>
          </cell>
        </row>
        <row r="54">
          <cell r="C54" t="str">
            <v>CU</v>
          </cell>
          <cell r="E54">
            <v>1.9199999999999998E-2</v>
          </cell>
          <cell r="F54" t="str">
            <v>n/a</v>
          </cell>
          <cell r="G54">
            <v>0.01</v>
          </cell>
          <cell r="H54" t="str">
            <v>n/a</v>
          </cell>
          <cell r="I54" t="str">
            <v>n/a</v>
          </cell>
          <cell r="J54" t="str">
            <v>n/a</v>
          </cell>
        </row>
        <row r="55">
          <cell r="C55" t="str">
            <v>EMA</v>
          </cell>
          <cell r="E55">
            <v>3.49E-2</v>
          </cell>
          <cell r="F55" t="str">
            <v>n/a</v>
          </cell>
          <cell r="G55">
            <v>4.0999999999999995E-2</v>
          </cell>
          <cell r="H55">
            <v>0.13</v>
          </cell>
          <cell r="I55">
            <v>2.5000000000000001E-2</v>
          </cell>
          <cell r="J55">
            <v>0.08</v>
          </cell>
          <cell r="S55">
            <v>6.3672222222222227E-2</v>
          </cell>
          <cell r="AE55">
            <v>6.9010140320640234E-2</v>
          </cell>
        </row>
        <row r="56">
          <cell r="C56" t="str">
            <v>ENB</v>
          </cell>
          <cell r="E56">
            <v>2.87E-2</v>
          </cell>
          <cell r="F56">
            <v>0.06</v>
          </cell>
          <cell r="G56">
            <v>0.02</v>
          </cell>
          <cell r="H56">
            <v>0.1</v>
          </cell>
          <cell r="I56">
            <v>0.03</v>
          </cell>
          <cell r="J56">
            <v>0.02</v>
          </cell>
          <cell r="S56">
            <v>-6.7666666666666726E-3</v>
          </cell>
          <cell r="AE56">
            <v>-9.403175601651605E-3</v>
          </cell>
        </row>
        <row r="57">
          <cell r="C57" t="str">
            <v>FTS</v>
          </cell>
          <cell r="E57">
            <v>5.6000000000000001E-2</v>
          </cell>
          <cell r="F57">
            <v>4.9000000000000002E-2</v>
          </cell>
          <cell r="G57">
            <v>0.05</v>
          </cell>
          <cell r="H57">
            <v>0.05</v>
          </cell>
          <cell r="I57">
            <v>0.06</v>
          </cell>
          <cell r="J57">
            <v>0.04</v>
          </cell>
          <cell r="S57">
            <v>1.4811111111111112E-2</v>
          </cell>
          <cell r="AE57">
            <v>2.3772969468086696E-2</v>
          </cell>
        </row>
        <row r="58">
          <cell r="C58" t="str">
            <v>H</v>
          </cell>
          <cell r="E58">
            <v>5.33E-2</v>
          </cell>
          <cell r="F58" t="str">
            <v>n/a</v>
          </cell>
          <cell r="G58">
            <v>5.80105E-2</v>
          </cell>
          <cell r="H58" t="str">
            <v>n/a</v>
          </cell>
          <cell r="I58" t="str">
            <v>n/a</v>
          </cell>
          <cell r="J58" t="str">
            <v>n/a</v>
          </cell>
        </row>
        <row r="59">
          <cell r="C59" t="str">
            <v>TRP</v>
          </cell>
          <cell r="E59" t="str">
            <v>negative</v>
          </cell>
          <cell r="F59">
            <v>0.04</v>
          </cell>
          <cell r="G59">
            <v>2.0499999999999997E-2</v>
          </cell>
          <cell r="H59">
            <v>0.12</v>
          </cell>
          <cell r="I59">
            <v>0.05</v>
          </cell>
          <cell r="J59">
            <v>4.4999999999999998E-2</v>
          </cell>
          <cell r="S59">
            <v>2.7666666666666676E-2</v>
          </cell>
          <cell r="AE59">
            <v>6.3473112858385111E-2</v>
          </cell>
        </row>
        <row r="60">
          <cell r="C60" t="str">
            <v>AWK</v>
          </cell>
          <cell r="E60">
            <v>8.0699999999999994E-2</v>
          </cell>
          <cell r="F60">
            <v>8.2000000000000003E-2</v>
          </cell>
          <cell r="G60">
            <v>0.08</v>
          </cell>
          <cell r="H60">
            <v>0.03</v>
          </cell>
          <cell r="I60">
            <v>8.5000000000000006E-2</v>
          </cell>
          <cell r="J60">
            <v>6.5000000000000002E-2</v>
          </cell>
          <cell r="S60">
            <v>3.9333333333333331E-2</v>
          </cell>
          <cell r="AE60">
            <v>7.5465809346730472E-2</v>
          </cell>
        </row>
        <row r="61">
          <cell r="C61" t="str">
            <v>AWR</v>
          </cell>
          <cell r="E61">
            <v>4.3999999999999997E-2</v>
          </cell>
          <cell r="F61">
            <v>6.3E-2</v>
          </cell>
          <cell r="G61">
            <v>0.14000000000000001</v>
          </cell>
          <cell r="H61">
            <v>6.5000000000000002E-2</v>
          </cell>
          <cell r="I61">
            <v>8.5000000000000006E-2</v>
          </cell>
          <cell r="J61">
            <v>0.05</v>
          </cell>
          <cell r="S61">
            <v>5.5900000000000005E-2</v>
          </cell>
          <cell r="AE61">
            <v>6.3053411768159734E-2</v>
          </cell>
        </row>
        <row r="62">
          <cell r="C62" t="str">
            <v>CWT</v>
          </cell>
          <cell r="E62">
            <v>0.108</v>
          </cell>
          <cell r="F62" t="str">
            <v>n/a</v>
          </cell>
          <cell r="G62">
            <v>0.08</v>
          </cell>
          <cell r="H62">
            <v>6.5000000000000002E-2</v>
          </cell>
          <cell r="I62">
            <v>6.5000000000000002E-2</v>
          </cell>
          <cell r="J62">
            <v>5.5E-2</v>
          </cell>
          <cell r="S62">
            <v>4.1083333333333333E-2</v>
          </cell>
          <cell r="AE62">
            <v>1.4021889385712673E-2</v>
          </cell>
        </row>
        <row r="63">
          <cell r="C63" t="str">
            <v>MSEX</v>
          </cell>
          <cell r="E63">
            <v>2.7E-2</v>
          </cell>
          <cell r="F63" t="str">
            <v>n/a</v>
          </cell>
          <cell r="G63" t="str">
            <v>n/a</v>
          </cell>
          <cell r="H63">
            <v>0.05</v>
          </cell>
          <cell r="I63">
            <v>6.5000000000000002E-2</v>
          </cell>
          <cell r="J63">
            <v>0.02</v>
          </cell>
          <cell r="S63">
            <v>5.6388888888888877E-2</v>
          </cell>
          <cell r="AE63">
            <v>6.6433803186212906E-2</v>
          </cell>
        </row>
        <row r="64">
          <cell r="C64" t="str">
            <v>SJW</v>
          </cell>
          <cell r="E64">
            <v>6.0999999999999999E-2</v>
          </cell>
          <cell r="F64" t="str">
            <v>n/a</v>
          </cell>
          <cell r="G64">
            <v>7.0000000000000007E-2</v>
          </cell>
          <cell r="H64">
            <v>6.5000000000000002E-2</v>
          </cell>
          <cell r="I64">
            <v>0.05</v>
          </cell>
          <cell r="J64">
            <v>3.5000000000000003E-2</v>
          </cell>
          <cell r="S64">
            <v>3.3999999999999996E-2</v>
          </cell>
          <cell r="AE64">
            <v>2.998557406089401E-2</v>
          </cell>
        </row>
        <row r="65">
          <cell r="C65" t="str">
            <v>WTRG</v>
          </cell>
          <cell r="E65">
            <v>5.3999999999999999E-2</v>
          </cell>
          <cell r="F65">
            <v>5.6000000000000001E-2</v>
          </cell>
          <cell r="G65">
            <v>0.06</v>
          </cell>
          <cell r="H65">
            <v>7.4999999999999997E-2</v>
          </cell>
          <cell r="I65">
            <v>0.08</v>
          </cell>
          <cell r="J65">
            <v>4.4999999999999998E-2</v>
          </cell>
          <cell r="S65">
            <v>2.9466666666666665E-2</v>
          </cell>
          <cell r="AE65">
            <v>5.1475414151064575E-2</v>
          </cell>
        </row>
        <row r="66">
          <cell r="C66" t="str">
            <v>YORW</v>
          </cell>
          <cell r="E66">
            <v>4.9000000000000002E-2</v>
          </cell>
          <cell r="F66" t="str">
            <v>n/a</v>
          </cell>
          <cell r="G66" t="str">
            <v>n/a</v>
          </cell>
          <cell r="H66" t="str">
            <v>n/a</v>
          </cell>
          <cell r="I66" t="str">
            <v>n/a</v>
          </cell>
          <cell r="J66" t="str">
            <v>n/a</v>
          </cell>
          <cell r="S66" t="e">
            <v>#DIV/0!</v>
          </cell>
          <cell r="AE66" t="e">
            <v>#DIV/0!</v>
          </cell>
        </row>
      </sheetData>
      <sheetData sheetId="10"/>
      <sheetData sheetId="11"/>
      <sheetData sheetId="12"/>
      <sheetData sheetId="13"/>
      <sheetData sheetId="14">
        <row r="5">
          <cell r="B5" t="str">
            <v>ATO US Equity</v>
          </cell>
          <cell r="C5" t="str">
            <v>A-</v>
          </cell>
        </row>
        <row r="6">
          <cell r="B6" t="str">
            <v>CPK US Equity</v>
          </cell>
          <cell r="C6" t="str">
            <v>NR</v>
          </cell>
        </row>
        <row r="7">
          <cell r="B7" t="str">
            <v>SR US Equity</v>
          </cell>
          <cell r="C7" t="str">
            <v>A-</v>
          </cell>
        </row>
        <row r="8">
          <cell r="B8" t="str">
            <v>NJR US Equity</v>
          </cell>
          <cell r="C8" t="str">
            <v>NR</v>
          </cell>
        </row>
        <row r="9">
          <cell r="B9" t="str">
            <v>NI US Equity</v>
          </cell>
          <cell r="C9" t="str">
            <v>BBB+</v>
          </cell>
        </row>
        <row r="10">
          <cell r="B10" t="str">
            <v>NWN US Equity</v>
          </cell>
          <cell r="C10" t="str">
            <v>A+</v>
          </cell>
        </row>
        <row r="11">
          <cell r="B11" t="str">
            <v>OGS US Equity</v>
          </cell>
          <cell r="C11" t="str">
            <v>A-</v>
          </cell>
        </row>
        <row r="12">
          <cell r="B12" t="str">
            <v>SJI US Equity</v>
          </cell>
          <cell r="C12" t="str">
            <v>NR</v>
          </cell>
        </row>
        <row r="13">
          <cell r="B13" t="str">
            <v>SWX US Equity</v>
          </cell>
          <cell r="C13" t="str">
            <v>BBB-</v>
          </cell>
        </row>
        <row r="14">
          <cell r="B14" t="str">
            <v>UGI US Equity</v>
          </cell>
          <cell r="C14" t="str">
            <v>NR</v>
          </cell>
        </row>
        <row r="15">
          <cell r="B15" t="str">
            <v>ALE US Equity</v>
          </cell>
          <cell r="C15" t="str">
            <v>BBB</v>
          </cell>
        </row>
        <row r="16">
          <cell r="B16" t="str">
            <v>LNT US Equity</v>
          </cell>
          <cell r="C16" t="str">
            <v>A-</v>
          </cell>
        </row>
        <row r="17">
          <cell r="B17" t="str">
            <v>AEE US Equity</v>
          </cell>
          <cell r="C17" t="str">
            <v>BBB+</v>
          </cell>
        </row>
        <row r="18">
          <cell r="B18" t="str">
            <v>AEP US Equity</v>
          </cell>
          <cell r="C18" t="str">
            <v>A-</v>
          </cell>
        </row>
        <row r="19">
          <cell r="B19" t="str">
            <v>AGR US Equity</v>
          </cell>
          <cell r="C19" t="str">
            <v>BBB+</v>
          </cell>
        </row>
        <row r="20">
          <cell r="B20" t="str">
            <v>AVA US Equity</v>
          </cell>
          <cell r="C20" t="str">
            <v>BBB</v>
          </cell>
        </row>
        <row r="21">
          <cell r="B21" t="str">
            <v>BKH US Equity</v>
          </cell>
          <cell r="C21" t="str">
            <v>BBB+</v>
          </cell>
        </row>
        <row r="22">
          <cell r="B22" t="str">
            <v>CNP US Equity</v>
          </cell>
          <cell r="C22" t="str">
            <v>BBB+</v>
          </cell>
        </row>
        <row r="23">
          <cell r="B23" t="str">
            <v>CMS US Equity</v>
          </cell>
          <cell r="C23" t="str">
            <v>BBB+</v>
          </cell>
        </row>
        <row r="24">
          <cell r="B24" t="str">
            <v>ED US Equity</v>
          </cell>
          <cell r="C24" t="str">
            <v>A-</v>
          </cell>
        </row>
        <row r="25">
          <cell r="B25" t="str">
            <v>D US Equity</v>
          </cell>
          <cell r="C25" t="str">
            <v>BBB+</v>
          </cell>
        </row>
        <row r="26">
          <cell r="B26" t="str">
            <v>DTE US Equity</v>
          </cell>
          <cell r="C26" t="str">
            <v>BBB+</v>
          </cell>
        </row>
        <row r="27">
          <cell r="B27" t="str">
            <v>DUK US Equity</v>
          </cell>
          <cell r="C27" t="str">
            <v>BBB+</v>
          </cell>
        </row>
        <row r="28">
          <cell r="B28" t="str">
            <v>EIX US Equity</v>
          </cell>
          <cell r="C28" t="str">
            <v>BBB</v>
          </cell>
        </row>
        <row r="29">
          <cell r="B29" t="str">
            <v>ETR US Equity</v>
          </cell>
          <cell r="C29" t="str">
            <v>BBB+</v>
          </cell>
        </row>
        <row r="30">
          <cell r="B30" t="str">
            <v>ES US Equity</v>
          </cell>
          <cell r="C30" t="str">
            <v>A-</v>
          </cell>
        </row>
        <row r="31">
          <cell r="B31" t="str">
            <v>EXC US Equity</v>
          </cell>
          <cell r="C31" t="str">
            <v>BBB+</v>
          </cell>
        </row>
        <row r="32">
          <cell r="B32" t="str">
            <v>FE US Equity</v>
          </cell>
          <cell r="C32" t="str">
            <v>BBB-</v>
          </cell>
        </row>
        <row r="33">
          <cell r="B33" t="str">
            <v>EVRG US Equity</v>
          </cell>
          <cell r="C33" t="str">
            <v>A-</v>
          </cell>
        </row>
        <row r="34">
          <cell r="B34" t="str">
            <v>HE US Equity</v>
          </cell>
          <cell r="C34" t="str">
            <v>B- *-</v>
          </cell>
        </row>
        <row r="35">
          <cell r="B35" t="str">
            <v>IDA US Equity</v>
          </cell>
          <cell r="C35" t="str">
            <v>BBB</v>
          </cell>
        </row>
        <row r="36">
          <cell r="B36" t="str">
            <v>MGEE US Equity</v>
          </cell>
          <cell r="C36" t="str">
            <v>AA-</v>
          </cell>
        </row>
        <row r="37">
          <cell r="B37" t="str">
            <v>NEE US Equity</v>
          </cell>
          <cell r="C37" t="str">
            <v>A-</v>
          </cell>
        </row>
        <row r="38">
          <cell r="B38" t="str">
            <v>NWE US Equity</v>
          </cell>
          <cell r="C38" t="str">
            <v>BBB</v>
          </cell>
        </row>
        <row r="39">
          <cell r="B39" t="str">
            <v>OGE US Equity</v>
          </cell>
          <cell r="C39" t="str">
            <v>BBB+</v>
          </cell>
        </row>
        <row r="40">
          <cell r="B40" t="str">
            <v>OTTR US Equity</v>
          </cell>
          <cell r="C40" t="str">
            <v>BBB</v>
          </cell>
        </row>
        <row r="41">
          <cell r="B41" t="str">
            <v>PCG US Equity</v>
          </cell>
          <cell r="C41" t="str">
            <v>BB-</v>
          </cell>
        </row>
        <row r="42">
          <cell r="B42" t="str">
            <v>PNW US Equity</v>
          </cell>
          <cell r="C42" t="str">
            <v>BBB+</v>
          </cell>
        </row>
        <row r="43">
          <cell r="B43" t="str">
            <v>PNM US Equity</v>
          </cell>
          <cell r="C43" t="str">
            <v>BBB</v>
          </cell>
        </row>
        <row r="44">
          <cell r="B44" t="str">
            <v>POR US Equity</v>
          </cell>
          <cell r="C44" t="str">
            <v>BBB+</v>
          </cell>
        </row>
        <row r="45">
          <cell r="B45" t="str">
            <v>PPL US Equity</v>
          </cell>
          <cell r="C45" t="str">
            <v>A-</v>
          </cell>
        </row>
        <row r="46">
          <cell r="B46" t="str">
            <v>PEG US Equity</v>
          </cell>
          <cell r="C46" t="str">
            <v>BBB+</v>
          </cell>
        </row>
        <row r="47">
          <cell r="B47" t="str">
            <v>SRE US Equity</v>
          </cell>
          <cell r="C47" t="str">
            <v>BBB+</v>
          </cell>
        </row>
        <row r="48">
          <cell r="B48" t="str">
            <v>SO US Equity</v>
          </cell>
          <cell r="C48" t="str">
            <v>BBB+</v>
          </cell>
        </row>
        <row r="49">
          <cell r="B49" t="str">
            <v>UTL US Equity</v>
          </cell>
          <cell r="C49" t="str">
            <v>BBB+</v>
          </cell>
        </row>
        <row r="50">
          <cell r="B50" t="str">
            <v>WEC US Equity</v>
          </cell>
          <cell r="C50" t="str">
            <v>A-</v>
          </cell>
        </row>
        <row r="51">
          <cell r="B51" t="str">
            <v>XEL US Equity</v>
          </cell>
          <cell r="C51" t="str">
            <v>A-</v>
          </cell>
        </row>
        <row r="52">
          <cell r="B52" t="str">
            <v>AQN US Equity</v>
          </cell>
          <cell r="C52" t="str">
            <v>BBB</v>
          </cell>
        </row>
        <row r="53">
          <cell r="B53" t="str">
            <v>ALA CN Equity</v>
          </cell>
          <cell r="C53" t="str">
            <v>BBB-</v>
          </cell>
        </row>
        <row r="54">
          <cell r="B54" t="str">
            <v>CU CN Equity</v>
          </cell>
          <cell r="C54" t="str">
            <v>NR</v>
          </cell>
        </row>
        <row r="55">
          <cell r="B55" t="str">
            <v>EMA CN Equity</v>
          </cell>
          <cell r="C55" t="str">
            <v>BBB</v>
          </cell>
        </row>
        <row r="56">
          <cell r="B56" t="str">
            <v>ENB CN Equity</v>
          </cell>
          <cell r="C56" t="str">
            <v>BBB+</v>
          </cell>
        </row>
        <row r="57">
          <cell r="B57" t="str">
            <v>FTS CN Equity</v>
          </cell>
          <cell r="C57" t="str">
            <v>A-</v>
          </cell>
        </row>
        <row r="58">
          <cell r="B58" t="str">
            <v>H CN Equity</v>
          </cell>
          <cell r="C58" t="str">
            <v>A-</v>
          </cell>
        </row>
        <row r="59">
          <cell r="B59" t="str">
            <v>TRP CN Equity</v>
          </cell>
          <cell r="C59" t="str">
            <v>BBB+</v>
          </cell>
        </row>
        <row r="60">
          <cell r="B60" t="str">
            <v>AWK US Equity</v>
          </cell>
          <cell r="C60" t="str">
            <v>A</v>
          </cell>
        </row>
        <row r="61">
          <cell r="B61" t="str">
            <v>AWR US Equity</v>
          </cell>
          <cell r="C61" t="str">
            <v>A</v>
          </cell>
        </row>
        <row r="62">
          <cell r="B62" t="str">
            <v>CWT US Equity</v>
          </cell>
          <cell r="C62" t="str">
            <v>A+</v>
          </cell>
        </row>
        <row r="63">
          <cell r="B63" t="str">
            <v>MSEX US Equity</v>
          </cell>
          <cell r="C63" t="str">
            <v>A</v>
          </cell>
        </row>
        <row r="64">
          <cell r="B64" t="str">
            <v>SJW US Equity</v>
          </cell>
          <cell r="C64" t="str">
            <v>A-</v>
          </cell>
        </row>
        <row r="65">
          <cell r="B65" t="str">
            <v>WTRG US Equity</v>
          </cell>
          <cell r="C65" t="str">
            <v>A</v>
          </cell>
        </row>
        <row r="66">
          <cell r="B66" t="str">
            <v>YORW US Equity</v>
          </cell>
          <cell r="C66" t="str">
            <v>A-</v>
          </cell>
        </row>
      </sheetData>
      <sheetData sheetId="15"/>
      <sheetData sheetId="16"/>
      <sheetData sheetId="17"/>
      <sheetData sheetId="18"/>
      <sheetData sheetId="19"/>
      <sheetData sheetId="20"/>
      <sheetData sheetId="21"/>
      <sheetData sheetId="22">
        <row r="1">
          <cell r="B1" t="str">
            <v>ATO</v>
          </cell>
          <cell r="E1" t="str">
            <v>CPK</v>
          </cell>
          <cell r="H1" t="str">
            <v>SR</v>
          </cell>
          <cell r="K1" t="str">
            <v>NJR</v>
          </cell>
          <cell r="N1" t="str">
            <v>NI</v>
          </cell>
          <cell r="Q1" t="str">
            <v>NWN</v>
          </cell>
          <cell r="T1" t="str">
            <v>OGS</v>
          </cell>
          <cell r="W1" t="str">
            <v>SJI</v>
          </cell>
          <cell r="Z1" t="str">
            <v>SWX</v>
          </cell>
          <cell r="AC1" t="str">
            <v>UGI</v>
          </cell>
          <cell r="AF1" t="str">
            <v>ALE</v>
          </cell>
          <cell r="AI1" t="str">
            <v>LNT</v>
          </cell>
          <cell r="AL1" t="str">
            <v>AEE</v>
          </cell>
          <cell r="AO1" t="str">
            <v>AEP</v>
          </cell>
          <cell r="AR1" t="str">
            <v>AGR</v>
          </cell>
          <cell r="AU1" t="str">
            <v>AVA</v>
          </cell>
          <cell r="AX1" t="str">
            <v>BKH</v>
          </cell>
          <cell r="BA1" t="str">
            <v>CNP</v>
          </cell>
          <cell r="BD1" t="str">
            <v>CMS</v>
          </cell>
          <cell r="BG1" t="str">
            <v>ED</v>
          </cell>
          <cell r="BJ1" t="str">
            <v>D</v>
          </cell>
          <cell r="BM1" t="str">
            <v>DTE</v>
          </cell>
          <cell r="BP1" t="str">
            <v>DUK</v>
          </cell>
          <cell r="BS1" t="str">
            <v>EIX</v>
          </cell>
          <cell r="BV1" t="str">
            <v>ETR</v>
          </cell>
          <cell r="BY1" t="str">
            <v>ES</v>
          </cell>
          <cell r="CB1" t="str">
            <v>EXC</v>
          </cell>
          <cell r="CE1" t="str">
            <v>FE</v>
          </cell>
          <cell r="CH1" t="str">
            <v>EVRG</v>
          </cell>
          <cell r="CK1" t="str">
            <v>HE</v>
          </cell>
          <cell r="CN1" t="str">
            <v>IDA</v>
          </cell>
          <cell r="CQ1" t="str">
            <v>MGEE</v>
          </cell>
          <cell r="CT1" t="str">
            <v>NEE</v>
          </cell>
          <cell r="CW1" t="str">
            <v>NWE</v>
          </cell>
          <cell r="CZ1" t="str">
            <v>OGE</v>
          </cell>
          <cell r="DC1" t="str">
            <v>OTTR</v>
          </cell>
          <cell r="DF1" t="str">
            <v>PCG</v>
          </cell>
          <cell r="DI1" t="str">
            <v>PNW</v>
          </cell>
          <cell r="DL1" t="str">
            <v>PNM</v>
          </cell>
          <cell r="DO1" t="str">
            <v>POR</v>
          </cell>
          <cell r="DR1" t="str">
            <v>PPL</v>
          </cell>
          <cell r="DU1" t="str">
            <v>PEG</v>
          </cell>
          <cell r="DX1" t="str">
            <v>SRE</v>
          </cell>
          <cell r="EA1" t="str">
            <v>SO</v>
          </cell>
          <cell r="ED1" t="str">
            <v>UTL</v>
          </cell>
          <cell r="EG1" t="str">
            <v>WEC</v>
          </cell>
          <cell r="EJ1" t="str">
            <v>XEL</v>
          </cell>
          <cell r="EM1" t="str">
            <v>AQN</v>
          </cell>
          <cell r="EP1" t="str">
            <v>ALA</v>
          </cell>
          <cell r="ES1" t="str">
            <v>CU</v>
          </cell>
          <cell r="EV1" t="str">
            <v>EMA</v>
          </cell>
          <cell r="EY1" t="str">
            <v>ENB</v>
          </cell>
          <cell r="FB1" t="str">
            <v>FTS</v>
          </cell>
          <cell r="FE1" t="str">
            <v>H</v>
          </cell>
          <cell r="FH1" t="str">
            <v>TRP</v>
          </cell>
          <cell r="FK1" t="str">
            <v>AWK</v>
          </cell>
          <cell r="FN1" t="str">
            <v>AWR</v>
          </cell>
          <cell r="FQ1" t="str">
            <v>CWT</v>
          </cell>
          <cell r="FT1" t="str">
            <v>MSEX</v>
          </cell>
          <cell r="FW1" t="str">
            <v>SJW</v>
          </cell>
          <cell r="FZ1" t="str">
            <v>WTRG</v>
          </cell>
          <cell r="GC1" t="str">
            <v>YORW</v>
          </cell>
          <cell r="GF1" t="str">
            <v>H15T5Y</v>
          </cell>
          <cell r="GI1" t="str">
            <v>H15T10Y</v>
          </cell>
          <cell r="GL1" t="str">
            <v>H15T30Y</v>
          </cell>
          <cell r="GO1" t="str">
            <v>MOODUA</v>
          </cell>
          <cell r="GR1" t="str">
            <v>MOODUBAA</v>
          </cell>
          <cell r="GU1" t="str">
            <v>GCAN10YR</v>
          </cell>
          <cell r="GX1" t="str">
            <v>GCAN30YR</v>
          </cell>
          <cell r="HA1" t="str">
            <v>C29530Y</v>
          </cell>
        </row>
        <row r="2">
          <cell r="A2" t="str">
            <v>30-day</v>
          </cell>
          <cell r="B2">
            <v>118.59800000000001</v>
          </cell>
          <cell r="D2" t="str">
            <v>30-day</v>
          </cell>
          <cell r="E2">
            <v>114.30533333333332</v>
          </cell>
          <cell r="G2" t="str">
            <v>30-day</v>
          </cell>
          <cell r="H2">
            <v>60.769999999999996</v>
          </cell>
          <cell r="J2" t="str">
            <v>30-day</v>
          </cell>
          <cell r="K2">
            <v>43.76166666666667</v>
          </cell>
          <cell r="M2" t="str">
            <v>30-day</v>
          </cell>
          <cell r="N2">
            <v>26.977000000000007</v>
          </cell>
          <cell r="P2" t="str">
            <v>30-day</v>
          </cell>
          <cell r="Q2">
            <v>41.393000000000008</v>
          </cell>
          <cell r="S2" t="str">
            <v>30-day</v>
          </cell>
          <cell r="T2">
            <v>76.575333333333319</v>
          </cell>
          <cell r="V2" t="str">
            <v>30-day</v>
          </cell>
          <cell r="W2">
            <v>35.644666666666659</v>
          </cell>
          <cell r="Y2" t="str">
            <v>30-day</v>
          </cell>
          <cell r="Z2">
            <v>64.753999999999991</v>
          </cell>
          <cell r="AB2" t="str">
            <v>30-day</v>
          </cell>
          <cell r="AC2">
            <v>24.545333333333339</v>
          </cell>
          <cell r="AE2" t="str">
            <v>30-day</v>
          </cell>
          <cell r="AF2">
            <v>56.540666666666667</v>
          </cell>
          <cell r="AH2" t="str">
            <v>30-day</v>
          </cell>
          <cell r="AI2">
            <v>51.991</v>
          </cell>
          <cell r="AK2" t="str">
            <v>30-day</v>
          </cell>
          <cell r="AL2">
            <v>82.259333333333345</v>
          </cell>
          <cell r="AN2" t="str">
            <v>30-day</v>
          </cell>
          <cell r="AO2">
            <v>81.666333333333327</v>
          </cell>
          <cell r="AQ2" t="str">
            <v>30-day</v>
          </cell>
          <cell r="AR2">
            <v>35.673999999999992</v>
          </cell>
          <cell r="AT2" t="str">
            <v>30-day</v>
          </cell>
          <cell r="AU2">
            <v>35.911999999999992</v>
          </cell>
          <cell r="AW2" t="str">
            <v>30-day</v>
          </cell>
          <cell r="AX2">
            <v>57.603999999999999</v>
          </cell>
          <cell r="AZ2" t="str">
            <v>30-day</v>
          </cell>
          <cell r="BA2">
            <v>29.036666666666672</v>
          </cell>
          <cell r="BC2" t="str">
            <v>30-day</v>
          </cell>
          <cell r="BD2">
            <v>58.463666666666661</v>
          </cell>
          <cell r="BF2" t="str">
            <v>30-day</v>
          </cell>
          <cell r="BG2">
            <v>91.524333333333331</v>
          </cell>
          <cell r="BI2" t="str">
            <v>30-day</v>
          </cell>
          <cell r="BJ2">
            <v>50.234666666666655</v>
          </cell>
          <cell r="BL2" t="str">
            <v>30-day</v>
          </cell>
          <cell r="BM2">
            <v>108.51400000000004</v>
          </cell>
          <cell r="BO2" t="str">
            <v>30-day</v>
          </cell>
          <cell r="BP2">
            <v>91.822333333333347</v>
          </cell>
          <cell r="BR2" t="str">
            <v>30-day</v>
          </cell>
          <cell r="BS2">
            <v>70.347333333333324</v>
          </cell>
          <cell r="BU2" t="str">
            <v>30-day</v>
          </cell>
          <cell r="BV2">
            <v>98.221999999999994</v>
          </cell>
          <cell r="BX2" t="str">
            <v>30-day</v>
          </cell>
          <cell r="BY2">
            <v>67.534000000000006</v>
          </cell>
          <cell r="CA2" t="str">
            <v>30-day</v>
          </cell>
          <cell r="CB2">
            <v>40.753999999999998</v>
          </cell>
          <cell r="CD2" t="str">
            <v>30-day</v>
          </cell>
          <cell r="CE2">
            <v>37.272666666666659</v>
          </cell>
          <cell r="CG2" t="str">
            <v>30-day</v>
          </cell>
          <cell r="CH2">
            <v>58.030999999999999</v>
          </cell>
          <cell r="CJ2" t="str">
            <v>30-day</v>
          </cell>
          <cell r="CK2">
            <v>26.353000000000002</v>
          </cell>
          <cell r="CM2" t="str">
            <v>30-day</v>
          </cell>
          <cell r="CN2">
            <v>98.440333333333356</v>
          </cell>
          <cell r="CP2" t="str">
            <v>30-day</v>
          </cell>
          <cell r="CQ2">
            <v>77.012666666666675</v>
          </cell>
          <cell r="CS2" t="str">
            <v>30-day</v>
          </cell>
          <cell r="CT2">
            <v>69.77866666666668</v>
          </cell>
          <cell r="CV2" t="str">
            <v>30-day</v>
          </cell>
          <cell r="CW2">
            <v>53.654666666666671</v>
          </cell>
          <cell r="CY2" t="str">
            <v>30-day</v>
          </cell>
          <cell r="CZ2">
            <v>34.899999999999991</v>
          </cell>
          <cell r="DB2" t="str">
            <v>30-day</v>
          </cell>
          <cell r="DC2">
            <v>85.793000000000035</v>
          </cell>
          <cell r="DE2" t="str">
            <v>30-day</v>
          </cell>
          <cell r="DF2">
            <v>17.177666666666664</v>
          </cell>
          <cell r="DH2" t="str">
            <v>30-day</v>
          </cell>
          <cell r="DI2">
            <v>79.776333333333298</v>
          </cell>
          <cell r="DK2" t="str">
            <v>30-day</v>
          </cell>
          <cell r="DL2">
            <v>44.487666666666669</v>
          </cell>
          <cell r="DN2" t="str">
            <v>30-day</v>
          </cell>
          <cell r="DO2">
            <v>46.039666666666662</v>
          </cell>
          <cell r="DQ2" t="str">
            <v>30-day</v>
          </cell>
          <cell r="DR2">
            <v>26.211000000000006</v>
          </cell>
          <cell r="DT2" t="str">
            <v>30-day</v>
          </cell>
          <cell r="DU2">
            <v>61.669333333333334</v>
          </cell>
          <cell r="DW2" t="str">
            <v>30-day</v>
          </cell>
          <cell r="DX2">
            <v>72.307999999999993</v>
          </cell>
          <cell r="DZ2" t="str">
            <v>30-day</v>
          </cell>
          <cell r="EA2">
            <v>69.504666666666665</v>
          </cell>
          <cell r="EC2" t="str">
            <v>30-day</v>
          </cell>
          <cell r="ED2">
            <v>49.904666666666657</v>
          </cell>
          <cell r="EF2" t="str">
            <v>30-day</v>
          </cell>
          <cell r="EG2">
            <v>87.386333333333326</v>
          </cell>
          <cell r="EI2" t="str">
            <v>30-day</v>
          </cell>
          <cell r="EJ2">
            <v>60.176666666666662</v>
          </cell>
          <cell r="EL2" t="str">
            <v>30-day</v>
          </cell>
          <cell r="EM2">
            <v>7.6766666666666659</v>
          </cell>
          <cell r="EO2" t="str">
            <v>30-day</v>
          </cell>
          <cell r="EP2">
            <v>25.797000000000001</v>
          </cell>
          <cell r="ER2" t="str">
            <v>30-day</v>
          </cell>
          <cell r="ES2">
            <v>32.48233333333333</v>
          </cell>
          <cell r="EU2" t="str">
            <v>30-day</v>
          </cell>
          <cell r="EV2">
            <v>52.08433333333334</v>
          </cell>
          <cell r="EX2" t="str">
            <v>30-day</v>
          </cell>
          <cell r="EY2">
            <v>47.994666666666674</v>
          </cell>
          <cell r="FA2" t="str">
            <v>30-day</v>
          </cell>
          <cell r="FB2">
            <v>54.711666666666673</v>
          </cell>
          <cell r="FD2" t="str">
            <v>30-day</v>
          </cell>
          <cell r="FE2">
            <v>36.734000000000009</v>
          </cell>
          <cell r="FG2" t="str">
            <v>30-day</v>
          </cell>
          <cell r="FH2">
            <v>48.590000000000011</v>
          </cell>
          <cell r="FJ2" t="str">
            <v>30-day</v>
          </cell>
          <cell r="FK2">
            <v>142.21933333333334</v>
          </cell>
          <cell r="FM2" t="str">
            <v>30-day</v>
          </cell>
          <cell r="FN2">
            <v>86.982333333333315</v>
          </cell>
          <cell r="FP2" t="str">
            <v>30-day</v>
          </cell>
          <cell r="FQ2">
            <v>51.840333333333341</v>
          </cell>
          <cell r="FS2" t="str">
            <v>30-day</v>
          </cell>
          <cell r="FT2">
            <v>79.895666666666699</v>
          </cell>
          <cell r="FV2" t="str">
            <v>30-day</v>
          </cell>
          <cell r="FW2">
            <v>68.693333333333328</v>
          </cell>
          <cell r="FY2" t="str">
            <v>30-day</v>
          </cell>
          <cell r="FZ2">
            <v>39.536999999999999</v>
          </cell>
          <cell r="GB2" t="str">
            <v>30-day</v>
          </cell>
          <cell r="GC2">
            <v>41.433333333333344</v>
          </cell>
          <cell r="GE2" t="str">
            <v>30-day</v>
          </cell>
          <cell r="GF2">
            <v>4.2703333333333324</v>
          </cell>
          <cell r="GH2" t="str">
            <v>30-day</v>
          </cell>
          <cell r="GI2">
            <v>4.109</v>
          </cell>
          <cell r="GK2" t="str">
            <v>30-day</v>
          </cell>
          <cell r="GL2">
            <v>4.2089999999999996</v>
          </cell>
          <cell r="GN2" t="str">
            <v>30-day</v>
          </cell>
          <cell r="GO2">
            <v>5.633</v>
          </cell>
          <cell r="GQ2" t="str">
            <v>30-day</v>
          </cell>
          <cell r="GR2">
            <v>5.9353333333333333</v>
          </cell>
          <cell r="GT2" t="str">
            <v>30-day</v>
          </cell>
          <cell r="GU2">
            <v>3.6190333333333342</v>
          </cell>
          <cell r="GW2" t="str">
            <v>30-day</v>
          </cell>
          <cell r="GX2">
            <v>3.4560666666666657</v>
          </cell>
          <cell r="GZ2" t="str">
            <v>30-day</v>
          </cell>
          <cell r="HA2">
            <v>4.9392799999999983</v>
          </cell>
        </row>
      </sheetData>
      <sheetData sheetId="23"/>
      <sheetData sheetId="24">
        <row r="1">
          <cell r="E1" t="str">
            <v>ATO</v>
          </cell>
          <cell r="M1" t="str">
            <v>CPK</v>
          </cell>
          <cell r="U1" t="str">
            <v>NJR</v>
          </cell>
          <cell r="AC1" t="str">
            <v>NI</v>
          </cell>
          <cell r="AK1" t="str">
            <v>NWN</v>
          </cell>
          <cell r="AS1" t="str">
            <v>OGS</v>
          </cell>
          <cell r="BA1" t="str">
            <v>SJI</v>
          </cell>
          <cell r="BI1" t="str">
            <v>SR</v>
          </cell>
          <cell r="BQ1" t="str">
            <v>SWX</v>
          </cell>
          <cell r="BY1" t="str">
            <v>UGI</v>
          </cell>
          <cell r="CG1" t="str">
            <v>ALE</v>
          </cell>
          <cell r="CO1" t="str">
            <v>LNT</v>
          </cell>
          <cell r="CW1" t="str">
            <v>AEE</v>
          </cell>
          <cell r="DE1" t="str">
            <v>AEP</v>
          </cell>
          <cell r="DM1" t="str">
            <v>AGR</v>
          </cell>
          <cell r="DU1" t="str">
            <v>AVA</v>
          </cell>
          <cell r="EC1" t="str">
            <v>BKH</v>
          </cell>
          <cell r="EK1" t="str">
            <v>CNP</v>
          </cell>
          <cell r="ES1" t="str">
            <v>CMS</v>
          </cell>
          <cell r="FA1" t="str">
            <v>ED</v>
          </cell>
          <cell r="FI1" t="str">
            <v>D</v>
          </cell>
          <cell r="FQ1" t="str">
            <v>DTE</v>
          </cell>
          <cell r="FY1" t="str">
            <v>DUK</v>
          </cell>
          <cell r="GG1" t="str">
            <v>EIX</v>
          </cell>
          <cell r="GO1" t="str">
            <v>ETR</v>
          </cell>
          <cell r="GW1" t="str">
            <v>ES</v>
          </cell>
          <cell r="HE1" t="str">
            <v>EXC</v>
          </cell>
          <cell r="HM1" t="str">
            <v>FE</v>
          </cell>
          <cell r="HU1" t="str">
            <v>EVRG</v>
          </cell>
          <cell r="IC1" t="str">
            <v>HE</v>
          </cell>
          <cell r="IK1" t="str">
            <v>IDA</v>
          </cell>
          <cell r="IS1" t="str">
            <v>MGEE</v>
          </cell>
          <cell r="JA1" t="str">
            <v>NEE</v>
          </cell>
          <cell r="JI1" t="str">
            <v>NWE</v>
          </cell>
          <cell r="JQ1" t="str">
            <v>OGE</v>
          </cell>
          <cell r="JY1" t="str">
            <v>OTTR</v>
          </cell>
          <cell r="KG1" t="str">
            <v>PCG</v>
          </cell>
          <cell r="KO1" t="str">
            <v>PNW</v>
          </cell>
          <cell r="KW1" t="str">
            <v>PNM</v>
          </cell>
          <cell r="LE1" t="str">
            <v>POR</v>
          </cell>
          <cell r="LM1" t="str">
            <v>PPL</v>
          </cell>
          <cell r="LU1" t="str">
            <v>PEG</v>
          </cell>
          <cell r="MC1" t="str">
            <v>SRE</v>
          </cell>
          <cell r="MK1" t="str">
            <v>SO</v>
          </cell>
          <cell r="MS1" t="str">
            <v>UTL</v>
          </cell>
          <cell r="NA1" t="str">
            <v>WEC</v>
          </cell>
          <cell r="NI1" t="str">
            <v>XEL</v>
          </cell>
          <cell r="NQ1" t="str">
            <v>AQN</v>
          </cell>
          <cell r="NY1" t="str">
            <v>ALA</v>
          </cell>
          <cell r="OG1" t="str">
            <v>CU</v>
          </cell>
          <cell r="OO1" t="str">
            <v>EMA</v>
          </cell>
          <cell r="OW1" t="str">
            <v>ENB</v>
          </cell>
          <cell r="PE1" t="str">
            <v>FTS</v>
          </cell>
          <cell r="PM1" t="str">
            <v>H</v>
          </cell>
          <cell r="PU1" t="str">
            <v>TRP</v>
          </cell>
          <cell r="QC1" t="str">
            <v>AWK</v>
          </cell>
          <cell r="QK1" t="str">
            <v>AWR</v>
          </cell>
          <cell r="QS1" t="str">
            <v>CWT</v>
          </cell>
          <cell r="RA1" t="str">
            <v>MSEX</v>
          </cell>
          <cell r="RI1" t="str">
            <v>SJW</v>
          </cell>
          <cell r="RQ1" t="str">
            <v>WTRG</v>
          </cell>
          <cell r="RY1" t="str">
            <v>YORW</v>
          </cell>
        </row>
        <row r="2">
          <cell r="D2" t="str">
            <v>Current dividend as of 8/31/2023:</v>
          </cell>
          <cell r="E2">
            <v>0.74</v>
          </cell>
          <cell r="L2" t="str">
            <v>Current dividend as of 8/31/2023:</v>
          </cell>
          <cell r="M2">
            <v>0.59</v>
          </cell>
          <cell r="T2" t="str">
            <v>Current dividend as of 8/31/2023:</v>
          </cell>
          <cell r="U2">
            <v>0.39</v>
          </cell>
          <cell r="AB2" t="str">
            <v>Current dividend as of 8/31/2023:</v>
          </cell>
          <cell r="AC2">
            <v>0.25</v>
          </cell>
          <cell r="AJ2" t="str">
            <v>Current dividend as of 8/31/2023:</v>
          </cell>
          <cell r="AK2">
            <v>0.48499999999999999</v>
          </cell>
          <cell r="AR2" t="str">
            <v>Current dividend as of 8/31/2023:</v>
          </cell>
          <cell r="AS2">
            <v>0.65</v>
          </cell>
          <cell r="AZ2" t="str">
            <v>Current dividend as of 8/31/2023:</v>
          </cell>
          <cell r="BA2">
            <v>0.14990000000000001</v>
          </cell>
          <cell r="BH2" t="str">
            <v>Current dividend as of 8/31/2023:</v>
          </cell>
          <cell r="BI2">
            <v>0.72</v>
          </cell>
          <cell r="BP2" t="str">
            <v>Current dividend as of 8/31/2023:</v>
          </cell>
          <cell r="BQ2">
            <v>0.62</v>
          </cell>
          <cell r="BX2" t="str">
            <v>Current dividend as of 8/31/2023:</v>
          </cell>
          <cell r="BY2">
            <v>0.375</v>
          </cell>
          <cell r="CF2" t="str">
            <v>Current dividend as of 8/31/2023:</v>
          </cell>
          <cell r="CG2">
            <v>0.67749999999999999</v>
          </cell>
          <cell r="CN2" t="str">
            <v>Current dividend as of 8/31/2023:</v>
          </cell>
          <cell r="CO2">
            <v>0.45250000000000001</v>
          </cell>
          <cell r="CV2" t="str">
            <v>Current dividend as of 8/31/2023:</v>
          </cell>
          <cell r="CW2">
            <v>0.63</v>
          </cell>
          <cell r="DD2" t="str">
            <v>Current dividend as of 8/31/2023:</v>
          </cell>
          <cell r="DE2">
            <v>0.83</v>
          </cell>
          <cell r="DL2" t="str">
            <v>Current dividend as of 8/31/2023:</v>
          </cell>
          <cell r="DM2">
            <v>0.44</v>
          </cell>
          <cell r="DT2" t="str">
            <v>Current dividend as of 8/31/2023:</v>
          </cell>
          <cell r="DU2">
            <v>0.46</v>
          </cell>
          <cell r="EB2" t="str">
            <v>Current dividend as of 8/31/2023:</v>
          </cell>
          <cell r="EC2">
            <v>0.625</v>
          </cell>
          <cell r="EJ2" t="str">
            <v>Current dividend as of 8/31/2023:</v>
          </cell>
          <cell r="EK2">
            <v>0.19</v>
          </cell>
          <cell r="ER2" t="str">
            <v>Current dividend as of 8/31/2023:</v>
          </cell>
          <cell r="ES2">
            <v>0.48749999999999999</v>
          </cell>
          <cell r="EZ2" t="str">
            <v>Current dividend as of 8/31/2023:</v>
          </cell>
          <cell r="FA2">
            <v>0.81</v>
          </cell>
          <cell r="FH2" t="str">
            <v>Current dividend as of 8/31/2023:</v>
          </cell>
          <cell r="FI2">
            <v>0.66749999999999998</v>
          </cell>
          <cell r="FP2" t="str">
            <v>Current dividend as of 8/31/2023:</v>
          </cell>
          <cell r="FQ2">
            <v>0.95250000000000001</v>
          </cell>
          <cell r="FX2" t="str">
            <v>Current dividend as of 8/31/2023:</v>
          </cell>
          <cell r="FY2">
            <v>1.0249999999999999</v>
          </cell>
          <cell r="GF2" t="str">
            <v>Current dividend as of 8/31/2023:</v>
          </cell>
          <cell r="GG2">
            <v>0.73750000000000004</v>
          </cell>
          <cell r="GN2" t="str">
            <v>Current dividend as of 8/31/2023:</v>
          </cell>
          <cell r="GO2">
            <v>1.07</v>
          </cell>
          <cell r="GV2" t="str">
            <v>Current dividend as of 8/31/2023:</v>
          </cell>
          <cell r="GW2">
            <v>0.67500000000000004</v>
          </cell>
          <cell r="HD2" t="str">
            <v>Current dividend as of 8/31/2023:</v>
          </cell>
          <cell r="HE2">
            <v>0.36</v>
          </cell>
          <cell r="HL2" t="str">
            <v>Current dividend as of 8/31/2023:</v>
          </cell>
          <cell r="HM2">
            <v>0.39</v>
          </cell>
          <cell r="HT2" t="str">
            <v>Current dividend as of 8/31/2023:</v>
          </cell>
          <cell r="HU2">
            <v>0.61250000000000004</v>
          </cell>
          <cell r="IB2" t="str">
            <v>Current dividend as of 8/31/2023:</v>
          </cell>
          <cell r="IC2">
            <v>0.36</v>
          </cell>
          <cell r="IJ2" t="str">
            <v>Current dividend as of 8/31/2023:</v>
          </cell>
          <cell r="IK2">
            <v>0.79</v>
          </cell>
          <cell r="IR2" t="str">
            <v>Current dividend as of 8/31/2023:</v>
          </cell>
          <cell r="IS2">
            <v>0.42749999999999999</v>
          </cell>
          <cell r="IZ2" t="str">
            <v>Current dividend as of 8/31/2023:</v>
          </cell>
          <cell r="JA2">
            <v>0.46750000000000003</v>
          </cell>
          <cell r="JH2" t="str">
            <v>Current dividend as of 8/31/2023:</v>
          </cell>
          <cell r="JI2">
            <v>0.64</v>
          </cell>
          <cell r="JP2" t="str">
            <v>Current dividend as of 8/31/2023:</v>
          </cell>
          <cell r="JQ2">
            <v>0.41410000000000002</v>
          </cell>
          <cell r="JX2" t="str">
            <v>Current dividend as of 8/31/2023:</v>
          </cell>
          <cell r="JY2">
            <v>0.4375</v>
          </cell>
          <cell r="KF2" t="str">
            <v>Current dividend as of 8/31/2023:</v>
          </cell>
          <cell r="KG2">
            <v>0.53</v>
          </cell>
          <cell r="KN2" t="str">
            <v>Current dividend as of 8/31/2023:</v>
          </cell>
          <cell r="KO2">
            <v>0.86499999999999999</v>
          </cell>
          <cell r="KV2" t="str">
            <v>Current dividend as of 8/31/2023:</v>
          </cell>
          <cell r="KW2">
            <v>0.36749999999999999</v>
          </cell>
          <cell r="LD2" t="str">
            <v>Current dividend as of 8/31/2023:</v>
          </cell>
          <cell r="LE2">
            <v>0.47499999999999998</v>
          </cell>
          <cell r="LL2" t="str">
            <v>Current dividend as of 8/31/2023:</v>
          </cell>
          <cell r="LM2">
            <v>0.24</v>
          </cell>
          <cell r="LT2" t="str">
            <v>Current dividend as of 8/31/2023:</v>
          </cell>
          <cell r="LU2">
            <v>0.56999999999999995</v>
          </cell>
          <cell r="MB2" t="str">
            <v>Current dividend as of 8/31/2023:</v>
          </cell>
          <cell r="MC2">
            <v>0.59499999999999997</v>
          </cell>
          <cell r="MJ2" t="str">
            <v>Current dividend as of 8/31/2023:</v>
          </cell>
          <cell r="MK2">
            <v>0.7</v>
          </cell>
          <cell r="MR2" t="str">
            <v>Current dividend as of 8/31/2023:</v>
          </cell>
          <cell r="MS2">
            <v>0.40500000000000003</v>
          </cell>
          <cell r="MZ2" t="str">
            <v>Current dividend as of 8/31/2023:</v>
          </cell>
          <cell r="NA2">
            <v>0.78</v>
          </cell>
          <cell r="NH2" t="str">
            <v>Current dividend as of 8/31/2023:</v>
          </cell>
          <cell r="NI2">
            <v>0.52</v>
          </cell>
          <cell r="NP2" t="str">
            <v>Current dividend as of 8/31/2023:</v>
          </cell>
          <cell r="NQ2">
            <v>0.1085</v>
          </cell>
          <cell r="NX2" t="str">
            <v>Current dividend as of 8/31/2023:</v>
          </cell>
          <cell r="NY2">
            <v>0.28000000000000003</v>
          </cell>
          <cell r="OF2" t="str">
            <v>Current dividend as of 8/31/2023:</v>
          </cell>
          <cell r="OG2">
            <v>0.4486</v>
          </cell>
          <cell r="ON2" t="str">
            <v>Current dividend as of 8/31/2023:</v>
          </cell>
          <cell r="OO2">
            <v>0.69</v>
          </cell>
          <cell r="OV2" t="str">
            <v>Current dividend as of 8/31/2023:</v>
          </cell>
          <cell r="OW2">
            <v>0.88749999999999996</v>
          </cell>
          <cell r="PD2" t="str">
            <v>Current dividend as of 8/31/2023:</v>
          </cell>
          <cell r="PE2">
            <v>0.56499999999999995</v>
          </cell>
          <cell r="PL2" t="str">
            <v>Current dividend as of 8/31/2023:</v>
          </cell>
          <cell r="PM2">
            <v>0.2964</v>
          </cell>
          <cell r="PT2" t="str">
            <v>Current dividend as of 8/31/2023:</v>
          </cell>
          <cell r="PU2">
            <v>0.93</v>
          </cell>
          <cell r="QB2" t="str">
            <v>Current dividend as of 8/31/2023:</v>
          </cell>
          <cell r="QC2">
            <v>0.70750000000000002</v>
          </cell>
          <cell r="QJ2" t="str">
            <v>Current dividend as of 8/31/2023:</v>
          </cell>
          <cell r="QK2">
            <v>0.43</v>
          </cell>
          <cell r="QR2" t="str">
            <v>Current dividend as of 8/31/2023:</v>
          </cell>
          <cell r="QS2">
            <v>0.26</v>
          </cell>
          <cell r="QZ2" t="str">
            <v>Current dividend as of 8/31/2023:</v>
          </cell>
          <cell r="RA2">
            <v>0.3125</v>
          </cell>
          <cell r="RH2" t="str">
            <v>Current dividend as of 8/31/2023:</v>
          </cell>
          <cell r="RI2">
            <v>0.38</v>
          </cell>
          <cell r="RP2" t="str">
            <v>Current dividend as of 8/31/2023:</v>
          </cell>
          <cell r="RQ2">
            <v>0.30709999999999998</v>
          </cell>
          <cell r="RX2" t="str">
            <v>Current dividend as of 8/31/2023:</v>
          </cell>
          <cell r="RY2">
            <v>0.20269999999999999</v>
          </cell>
        </row>
      </sheetData>
      <sheetData sheetId="25"/>
      <sheetData sheetId="26"/>
      <sheetData sheetId="27"/>
      <sheetData sheetId="28"/>
      <sheetData sheetId="29">
        <row r="6">
          <cell r="C6" t="str">
            <v>ALLETE, Inc.</v>
          </cell>
        </row>
      </sheetData>
    </sheetDataSet>
  </externalBook>
</externalLink>
</file>

<file path=xl/persons/person.xml><?xml version="1.0" encoding="utf-8"?>
<personList xmlns="http://schemas.microsoft.com/office/spreadsheetml/2018/threadedcomments" xmlns:x="http://schemas.openxmlformats.org/spreadsheetml/2006/main">
  <person displayName="Clara-Ann Joyce" id="{2DF06AA6-BF8B-41CC-AC0C-5036B7289D7B}" userId="S::cjoyce@ceadvisors.com::69bf1c06-74be-4361-b14e-5cb178fc6b94" providerId="AD"/>
  <person displayName="Nolan Souza" id="{397B4A6A-C4EE-476D-9F11-0FCDBFA0B066}" userId="S::nsouza@ceadvisors.com::8dd98329-81fe-46b0-a068-053c44f2f6aa" providerId="AD"/>
  <person displayName="Sarah Quinn" id="{CBD8F83A-3869-493A-BF96-7B84066EAB14}" userId="S::squinn@ceadvisors.com::5634f499-1b1f-4a3a-b0fe-54a48bab8551" providerId="AD"/>
  <person displayName="Jennifer Nelson" id="{CB0CC5AC-1756-43B9-B313-3C606465431A}" userId="S::jnelson@ceadvisors.com::65c28acb-ddcf-4c98-95c3-bd9f614c2b0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82" dT="2022-08-05T16:56:35.06" personId="{CB0CC5AC-1756-43B9-B313-3C606465431A}" id="{5A3DD614-7561-4866-9EBB-7244E95ADCC6}">
    <text>Plus loss on sale of CMA to ES of $6.8 mill</text>
  </threadedComment>
  <threadedComment ref="G183" dT="2021-06-01T18:33:11.17" personId="{2DF06AA6-BF8B-41CC-AC0C-5036B7289D7B}" id="{1C9C34FE-8599-4C8F-B4B0-53E2215E4B59}">
    <text>ALLETE sold U.S. Water Services in Q1 2019 (2020 10-K pg. 38)</text>
  </threadedComment>
  <threadedComment ref="G185" dT="2021-06-01T18:35:05.59" personId="{2DF06AA6-BF8B-41CC-AC0C-5036B7289D7B}" id="{9F136667-4077-46F2-82B4-5F21ABC1D338}">
    <text>ALLETE sold U.S. Water Services in Q1 2019 (2020 10-K pg. 38)</text>
  </threadedComment>
  <threadedComment ref="G186" dT="2021-06-01T18:35:05.59" personId="{2DF06AA6-BF8B-41CC-AC0C-5036B7289D7B}" id="{FBA68C5F-66F3-4694-8C92-20FACE65E174}">
    <text>ALLETE sold U.S. Water Services in Q1 2019 (2020 10-K pg. 38)</text>
  </threadedComment>
  <threadedComment ref="G187" dT="2021-06-01T18:35:05.59" personId="{2DF06AA6-BF8B-41CC-AC0C-5036B7289D7B}" id="{A3BBE682-F98E-4721-A475-D4CE6805BCF9}">
    <text>ALLETE sold U.S. Water Services in Q1 2019 (2020 10-K pg. 38)</text>
  </threadedComment>
  <threadedComment ref="I187" dT="2021-06-01T19:11:40.56" personId="{2DF06AA6-BF8B-41CC-AC0C-5036B7289D7B}" id="{B25AA11A-5977-443D-A208-D08D2A5A0D5A}">
    <text>hand-entered to match the operating income on PDF pg 94</text>
  </threadedComment>
  <threadedComment ref="H218" dT="2023-04-05T18:23:18.45" personId="{CBD8F83A-3869-493A-BF96-7B84066EAB14}" id="{25084A55-94E7-485D-9F22-38ACF89794D3}">
    <text>Updated 2020 values to align with 2022 10-K</text>
  </threadedComment>
  <threadedComment ref="I218" dT="2023-04-05T18:25:05.25" personId="{CBD8F83A-3869-493A-BF96-7B84066EAB14}" id="{CBCA1D28-AC37-4E8D-9C6F-1C658F046D62}">
    <text>2020 value adjusted based on 2022 10-k</text>
  </threadedComment>
  <threadedComment ref="E224" dT="2021-06-03T20:21:08.64" personId="{2DF06AA6-BF8B-41CC-AC0C-5036B7289D7B}" id="{6DF9F18A-88A6-40AA-A1A7-C5F703241D9D}">
    <text>Electric generation segments + Electric distribution</text>
  </threadedComment>
  <threadedComment ref="E225" dT="2021-06-03T20:21:08.64" personId="{2DF06AA6-BF8B-41CC-AC0C-5036B7289D7B}" id="{9F11137E-B005-4ECF-B5D0-5B3313E18129}">
    <text>Electric generation segments + Electric distribution</text>
  </threadedComment>
  <threadedComment ref="E226" dT="2021-06-03T20:21:08.64" personId="{2DF06AA6-BF8B-41CC-AC0C-5036B7289D7B}" id="{F56DF8DB-F33E-422B-AB3B-0DDC84B81B64}">
    <text>Electric generation segments + Electric distribution</text>
  </threadedComment>
  <threadedComment ref="I238" dT="2021-06-03T21:48:36.71" personId="{2DF06AA6-BF8B-41CC-AC0C-5036B7289D7B}" id="{495AC68C-76CE-4A5F-AC17-6A960F7DF79A}">
    <text>Net income + Income tax expense + Interest expense</text>
  </threadedComment>
  <threadedComment ref="I239" dT="2021-06-03T21:48:36.71" personId="{2DF06AA6-BF8B-41CC-AC0C-5036B7289D7B}" id="{5C32648C-B34A-4BBA-8F54-8EF0F9282167}">
    <text>Net income + Income tax expense + Interest expense</text>
  </threadedComment>
  <threadedComment ref="I240" dT="2021-06-03T21:48:36.71" personId="{2DF06AA6-BF8B-41CC-AC0C-5036B7289D7B}" id="{6ABC68E7-4260-413B-B942-3EBE84FF3A9C}">
    <text>Net income + Income tax expense + Interest expense</text>
  </threadedComment>
  <threadedComment ref="B252" dT="2021-06-04T15:35:14.34" personId="{2DF06AA6-BF8B-41CC-AC0C-5036B7289D7B}" id="{44C1B2D4-5CE6-4497-A39D-03AD4366392C}">
    <text>2018 and 2019 numbers adjusted to reflect "various immaterial corrections to prior periods" identified in the 2020 10-K</text>
  </threadedComment>
  <threadedComment ref="B256" dT="2021-06-04T15:35:23.87" personId="{2DF06AA6-BF8B-41CC-AC0C-5036B7289D7B}" id="{1B040394-F5B4-4B67-80E4-9C60FB7CF704}">
    <text>2018 and 2019 numbers adjusted to reflect "various immaterial corrections to prior periods" identified in the 2020 10-K</text>
  </threadedComment>
  <threadedComment ref="B260" dT="2021-06-04T15:51:33.77" personId="{2DF06AA6-BF8B-41CC-AC0C-5036B7289D7B}" id="{2DB18BA8-E3A8-4D16-A783-D1914B6C9F06}">
    <text>2018 and 2019 numbers adjusted to reflect "various immaterial corrections to prior periods" identified in the 2020 10-K</text>
  </threadedComment>
  <threadedComment ref="G370" dT="2022-04-24T22:00:52.15" personId="{2DF06AA6-BF8B-41CC-AC0C-5036B7289D7B}" id="{9C948D39-1D1A-4B2D-A1A2-0868780770D7}">
    <text xml:space="preserve">"DT Midstream Inc., formerly DTE Energy's natural gas pipeline, storage, and gathering non-utility business compromising the Gas Storage and Pipelines segment and certain DTE Energy holding company activity in the Corporate and Other segment, separated from DTE Energy and became an independent public company on July 1, 2021" </text>
  </threadedComment>
  <threadedComment ref="H370" dT="2022-04-24T21:57:08.32" personId="{2DF06AA6-BF8B-41CC-AC0C-5036B7289D7B}" id="{5D1E3993-589D-4154-84C3-15D1F45EAD07}">
    <text>Formerly Power and Industrial Projects</text>
  </threadedComment>
  <threadedComment ref="K375" dT="2023-03-24T15:36:21.04" personId="{397B4A6A-C4EE-476D-9F11-0FCDBFA0B066}" id="{D778C48D-FAC4-431F-83DB-003769CCBA49}">
    <text>Plugged to match operating income as presented on PDF pg 60</text>
  </threadedComment>
  <threadedComment ref="K376" dT="2022-04-24T22:18:39.83" personId="{2DF06AA6-BF8B-41CC-AC0C-5036B7289D7B}" id="{40AB5597-9341-416E-8E17-6A4436C28343}">
    <text>Plugged to match total operating income on pg. 149</text>
  </threadedComment>
  <threadedComment ref="K381" dT="2023-03-24T18:06:25.14" personId="{397B4A6A-C4EE-476D-9F11-0FCDBFA0B066}" id="{7C0D516B-9CDB-4A6D-B465-2665D302710C}">
    <text>Includes adjustment for Discontinued Operations</text>
  </threadedComment>
  <threadedComment ref="G392" dT="2023-03-24T16:05:45.22" personId="{397B4A6A-C4EE-476D-9F11-0FCDBFA0B066}" id="{2F61EA63-053D-4D51-AE91-C9C78D942FFA}">
    <text>Results of the Commercial Renewables Disposal Groups are included in the loss from Discontinued Operations, net of tax in Duke energy's consolidated statements of Operations. (1,323) was removed to reflect current state of operations</text>
  </threadedComment>
  <threadedComment ref="I392" dT="2023-03-24T16:16:49.32" personId="{397B4A6A-C4EE-476D-9F11-0FCDBFA0B066}" id="{6FFB6FF1-67CF-4494-949E-6EF76FB02CDA}">
    <text>Plugged to match operating income as reported on PDF page 113</text>
  </threadedComment>
  <threadedComment ref="G393" dT="2023-04-05T19:54:55.81" personId="{397B4A6A-C4EE-476D-9F11-0FCDBFA0B066}" id="{18D4CE85-9F9E-4737-A67B-ADD67B72F00F}">
    <text xml:space="preserve"> (144) was removed to reflect current state of operations</text>
  </threadedComment>
  <threadedComment ref="I393" dT="2022-04-24T23:04:24.88" personId="{2DF06AA6-BF8B-41CC-AC0C-5036B7289D7B}" id="{10AA0B26-4501-40BB-BB7C-6016C580A2AA}">
    <text>Plugged to match total Operating Income on pg. 75</text>
  </threadedComment>
  <threadedComment ref="G394" dT="2023-04-05T19:55:14.77" personId="{397B4A6A-C4EE-476D-9F11-0FCDBFA0B066}" id="{2240087C-788B-47E4-B2C6-5261AAA37D7D}">
    <text xml:space="preserve"> (16) was removed to reflect current state of operations</text>
  </threadedComment>
  <threadedComment ref="G397" dT="2023-04-05T19:56:00.06" personId="{397B4A6A-C4EE-476D-9F11-0FCDBFA0B066}" id="{9634132F-4C8F-4C62-B4A0-EBAD73F5D284}">
    <text xml:space="preserve">6,977 was removed to reflect current state of operations
</text>
  </threadedComment>
  <threadedComment ref="G398" dT="2023-04-05T19:56:50.92" personId="{397B4A6A-C4EE-476D-9F11-0FCDBFA0B066}" id="{3BDE5568-91A9-4825-A001-6027238AE3F2}">
    <text>6,716 was removed to reflect current state of operations</text>
  </threadedComment>
  <threadedComment ref="F405" dT="2023-03-24T17:01:09.46" personId="{397B4A6A-C4EE-476D-9F11-0FCDBFA0B066}" id="{FAC6AD9F-A4A9-485B-8615-A2515A802D53}">
    <text>Plugged to match total operating revenue as reported on PDF page 129</text>
  </threadedComment>
  <threadedComment ref="F406" dT="2022-04-25T01:57:46.45" personId="{2DF06AA6-BF8B-41CC-AC0C-5036B7289D7B}" id="{D5B17CBD-1FAB-4F1C-80EF-3C82EC68A7C2}">
    <text>Plugged to match the total operating revenue number on pg. 62</text>
  </threadedComment>
  <threadedComment ref="F409" dT="2023-03-24T17:04:04.82" personId="{397B4A6A-C4EE-476D-9F11-0FCDBFA0B066}" id="{7D0DE21C-8B2C-4D4B-A648-2EB1C9332AE0}">
    <text>Plugged to match operating income as reported in PDF page 129</text>
  </threadedComment>
  <threadedComment ref="F410" dT="2022-04-25T02:02:46.83" personId="{2DF06AA6-BF8B-41CC-AC0C-5036B7289D7B}" id="{75FF38A0-59D1-462D-BFEB-5A4B57EA7578}">
    <text>Plugged to match the operating income number on pg. 62</text>
  </threadedComment>
  <threadedComment ref="F414" dT="2022-04-25T01:58:35.65" personId="{2DF06AA6-BF8B-41CC-AC0C-5036B7289D7B}" id="{7BB85EDA-FC6F-4DF4-9ED1-079D6E713A7B}">
    <text>Plugged to match the total assets number on pg. 64</text>
  </threadedComment>
  <threadedComment ref="E470" dT="2023-04-05T20:09:38.48" personId="{397B4A6A-C4EE-476D-9F11-0FCDBFA0B066}" id="{678E773A-085B-4DEF-8367-0B87AE0E048A}">
    <text>Constellation Energy Generation, LLC (formerly Exelon Generation Company, LLC) a subsidiary of Exelon as of December 31, 2021 prior to separation on February 1, 2022</text>
  </threadedComment>
  <threadedComment ref="E472" dT="2023-04-05T20:06:50.95" personId="{397B4A6A-C4EE-476D-9F11-0FCDBFA0B066}" id="{947A9477-708E-4C23-859C-FDF51C306D0E}">
    <text>19,649 removed</text>
  </threadedComment>
  <threadedComment ref="E473" dT="2023-04-05T20:07:01.09" personId="{397B4A6A-C4EE-476D-9F11-0FCDBFA0B066}" id="{C55DF02B-F8CA-4601-9D8F-C3664A5CDB76}">
    <text>17,603 removed</text>
  </threadedComment>
  <threadedComment ref="I475" dT="2022-04-27T04:06:28.29" personId="{2DF06AA6-BF8B-41CC-AC0C-5036B7289D7B}" id="{E39EE52C-2D17-404C-AA45-B9C7D5FE071A}">
    <text>Includes Pepco, DPL, and ACE</text>
  </threadedComment>
  <threadedComment ref="K475" dT="2023-03-27T15:39:08.47" personId="{397B4A6A-C4EE-476D-9F11-0FCDBFA0B066}" id="{B6EE5A55-66BD-42F8-B8D9-FB172E45EC66}">
    <text>Plug to match total operating income on pg 119</text>
  </threadedComment>
  <threadedComment ref="E476" dT="2023-04-05T20:07:16.30" personId="{397B4A6A-C4EE-476D-9F11-0FCDBFA0B066}" id="{2891A668-D6F9-4F9C-BB94-705401DE32F4}">
    <text>(346) removed</text>
  </threadedComment>
  <threadedComment ref="I476" dT="2022-04-27T04:06:28.29" personId="{2DF06AA6-BF8B-41CC-AC0C-5036B7289D7B}" id="{B8532412-2616-4F7E-BA3F-E26C5602772B}">
    <text>Includes Pepco, DPL, and ACE</text>
  </threadedComment>
  <threadedComment ref="K476" dT="2023-03-27T15:41:31.17" personId="{397B4A6A-C4EE-476D-9F11-0FCDBFA0B066}" id="{401BB3D5-C0FE-4CC2-831C-81232A8EE80D}">
    <text>Plug to match total operating income from pg 119</text>
  </threadedComment>
  <threadedComment ref="E477" dT="2023-04-05T20:07:25.35" personId="{397B4A6A-C4EE-476D-9F11-0FCDBFA0B066}" id="{7464AB7E-F430-4B9F-8DD5-931DF1B51BA3}">
    <text>256 removed</text>
  </threadedComment>
  <threadedComment ref="I477" dT="2022-04-27T16:45:32.67" personId="{2DF06AA6-BF8B-41CC-AC0C-5036B7289D7B}" id="{D9F3F373-2196-43C0-8F2F-B7C1901F1268}">
    <text>Includes Pepco, DPL, and ACE</text>
  </threadedComment>
  <threadedComment ref="K477" dT="2022-04-27T16:50:34.04" personId="{2DF06AA6-BF8B-41CC-AC0C-5036B7289D7B}" id="{B035555B-BC68-4820-90D2-A081ED651FD5}">
    <text>Plugged to match operating income on pg. 179</text>
  </threadedComment>
  <threadedComment ref="E480" dT="2023-04-05T20:07:36.12" personId="{397B4A6A-C4EE-476D-9F11-0FCDBFA0B066}" id="{36E5C387-1098-44E7-98C1-405C9FEECE4D}">
    <text xml:space="preserve">48,086 removed
</text>
  </threadedComment>
  <threadedComment ref="E481" dT="2023-04-05T20:07:52.65" personId="{397B4A6A-C4EE-476D-9F11-0FCDBFA0B066}" id="{F4EE1F10-F557-4F8D-ADDD-8AF31E392458}">
    <text>48,094 removed</text>
  </threadedComment>
  <threadedComment ref="H690" dT="2023-04-04T17:36:56.41" personId="{2DF06AA6-BF8B-41CC-AC0C-5036B7289D7B}" id="{5A6D092E-460E-4C8D-ABF7-B57F88F9245B}">
    <text>Acquired on May 25, 2022</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5658D-5A4C-4BDC-BA25-F1A7F932E29F}">
  <dimension ref="A1"/>
  <sheetViews>
    <sheetView workbookViewId="0"/>
  </sheetViews>
  <sheetFormatPr defaultRowHeight="14.4" x14ac:dyDescent="0.55000000000000004"/>
  <sheetData>
    <row r="1" spans="1:1" x14ac:dyDescent="0.55000000000000004">
      <c r="A1" t="s">
        <v>600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0"/>
  <sheetViews>
    <sheetView tabSelected="1" topLeftCell="A14" zoomScale="80" zoomScaleNormal="80" workbookViewId="0">
      <selection activeCell="I32" sqref="I32"/>
    </sheetView>
  </sheetViews>
  <sheetFormatPr defaultRowHeight="14.4" x14ac:dyDescent="0.55000000000000004"/>
  <cols>
    <col min="1" max="1" width="32.734375" style="1" customWidth="1"/>
    <col min="2" max="6" width="10.734375" style="1" customWidth="1"/>
    <col min="7" max="7" width="12.26171875" style="1" customWidth="1"/>
    <col min="8" max="9" width="10.734375" style="1" customWidth="1"/>
    <col min="17" max="17" width="10.41796875" customWidth="1"/>
  </cols>
  <sheetData>
    <row r="2" spans="1:10" x14ac:dyDescent="0.55000000000000004">
      <c r="H2" s="125"/>
    </row>
    <row r="3" spans="1:10" x14ac:dyDescent="0.55000000000000004">
      <c r="A3" s="311" t="s">
        <v>606</v>
      </c>
      <c r="B3" s="311"/>
      <c r="C3" s="311"/>
      <c r="D3" s="311"/>
      <c r="E3" s="311"/>
      <c r="F3" s="311"/>
      <c r="G3" s="311"/>
      <c r="H3" s="311"/>
      <c r="I3" s="311"/>
    </row>
    <row r="5" spans="1:10" ht="14.7" thickBot="1" x14ac:dyDescent="0.6">
      <c r="C5" s="2" t="s">
        <v>0</v>
      </c>
      <c r="D5" s="2" t="s">
        <v>1</v>
      </c>
      <c r="E5" s="2" t="s">
        <v>2</v>
      </c>
      <c r="F5" s="2" t="s">
        <v>3</v>
      </c>
      <c r="G5" s="2" t="s">
        <v>4</v>
      </c>
      <c r="H5" s="2" t="s">
        <v>5</v>
      </c>
      <c r="I5" s="2" t="s">
        <v>6</v>
      </c>
      <c r="J5" s="2"/>
    </row>
    <row r="6" spans="1:10" ht="100.9" customHeight="1" x14ac:dyDescent="0.55000000000000004">
      <c r="A6" s="3" t="s">
        <v>7</v>
      </c>
      <c r="B6" s="308" t="s">
        <v>8</v>
      </c>
      <c r="C6" s="308" t="s">
        <v>9</v>
      </c>
      <c r="D6" s="309" t="s">
        <v>597</v>
      </c>
      <c r="E6" s="309" t="s">
        <v>10</v>
      </c>
      <c r="F6" s="309" t="s">
        <v>602</v>
      </c>
      <c r="G6" s="309" t="s">
        <v>605</v>
      </c>
      <c r="H6" s="309" t="s">
        <v>599</v>
      </c>
      <c r="I6" s="309" t="s">
        <v>12</v>
      </c>
    </row>
    <row r="7" spans="1:10" x14ac:dyDescent="0.55000000000000004">
      <c r="C7" s="2"/>
      <c r="D7" s="4"/>
      <c r="E7" s="4"/>
      <c r="F7" s="4"/>
      <c r="G7" s="4"/>
      <c r="H7" s="4"/>
      <c r="I7" s="4"/>
    </row>
    <row r="8" spans="1:10" x14ac:dyDescent="0.55000000000000004">
      <c r="A8" s="5" t="s">
        <v>13</v>
      </c>
      <c r="B8" s="6" t="s">
        <v>14</v>
      </c>
      <c r="C8" s="2" t="s">
        <v>15</v>
      </c>
      <c r="D8" s="2" t="s">
        <v>16</v>
      </c>
      <c r="E8" s="2" t="s">
        <v>15</v>
      </c>
      <c r="F8" s="126">
        <f>AVERAGE(_xlfn.XLOOKUP($B8&amp;"2022INC", 'Business Segment'!$Q:$Q, 'Business Segment'!R:R), _xlfn.XLOOKUP($B8&amp;"2021INC", 'Business Segment'!$Q:$Q, 'Business Segment'!R:R), _xlfn.XLOOKUP($B8&amp;"2020INC", 'Business Segment'!$Q:$Q, 'Business Segment'!R:R))</f>
        <v>0.96382372578073461</v>
      </c>
      <c r="G8" s="126">
        <f>AVERAGE(_xlfn.XLOOKUP($B8&amp;"2022INC", 'Business Segment'!$Q:$Q, 'Business Segment'!S:S), _xlfn.XLOOKUP($B8&amp;"2021INC", 'Business Segment'!$Q:$Q, 'Business Segment'!S:S), _xlfn.XLOOKUP($B8&amp;"2020INC", 'Business Segment'!$Q:$Q, 'Business Segment'!S:S))</f>
        <v>0.97763700825619193</v>
      </c>
      <c r="H8" s="2" t="s">
        <v>17</v>
      </c>
      <c r="I8" s="2" t="s">
        <v>17</v>
      </c>
    </row>
    <row r="9" spans="1:10" x14ac:dyDescent="0.55000000000000004">
      <c r="A9" s="5" t="s">
        <v>18</v>
      </c>
      <c r="B9" s="6" t="s">
        <v>19</v>
      </c>
      <c r="C9" s="2" t="s">
        <v>15</v>
      </c>
      <c r="D9" s="2" t="s">
        <v>20</v>
      </c>
      <c r="E9" s="2" t="s">
        <v>15</v>
      </c>
      <c r="F9" s="126">
        <f>AVERAGE(_xlfn.XLOOKUP($B9&amp;"2022INC", 'Business Segment'!$Q:$Q, 'Business Segment'!R:R), _xlfn.XLOOKUP($B9&amp;"2021INC", 'Business Segment'!$Q:$Q, 'Business Segment'!R:R), _xlfn.XLOOKUP($B9&amp;"2020INC", 'Business Segment'!$Q:$Q, 'Business Segment'!R:R))</f>
        <v>0.96960694021933447</v>
      </c>
      <c r="G9" s="126">
        <f>AVERAGE(_xlfn.XLOOKUP($B9&amp;"2022INC", 'Business Segment'!$Q:$Q, 'Business Segment'!S:S), _xlfn.XLOOKUP($B9&amp;"2021INC", 'Business Segment'!$Q:$Q, 'Business Segment'!S:S), _xlfn.XLOOKUP($B9&amp;"2020INC", 'Business Segment'!$Q:$Q, 'Business Segment'!S:S))</f>
        <v>0.90661304061167858</v>
      </c>
      <c r="H9" s="2" t="s">
        <v>17</v>
      </c>
      <c r="I9" s="2" t="s">
        <v>15</v>
      </c>
    </row>
    <row r="10" spans="1:10" x14ac:dyDescent="0.55000000000000004">
      <c r="A10" s="5" t="s">
        <v>21</v>
      </c>
      <c r="B10" s="6" t="s">
        <v>22</v>
      </c>
      <c r="C10" s="2" t="s">
        <v>15</v>
      </c>
      <c r="D10" s="2" t="s">
        <v>23</v>
      </c>
      <c r="E10" s="2" t="s">
        <v>15</v>
      </c>
      <c r="F10" s="126">
        <f>AVERAGE(_xlfn.XLOOKUP($B10&amp;"2022INC", 'Business Segment'!$Q:$Q, 'Business Segment'!R:R), _xlfn.XLOOKUP($B10&amp;"2021INC", 'Business Segment'!$Q:$Q, 'Business Segment'!R:R), _xlfn.XLOOKUP($B10&amp;"2020INC", 'Business Segment'!$Q:$Q, 'Business Segment'!R:R))</f>
        <v>1</v>
      </c>
      <c r="G10" s="126">
        <f>AVERAGE(_xlfn.XLOOKUP($B10&amp;"2022INC", 'Business Segment'!$Q:$Q, 'Business Segment'!S:S), _xlfn.XLOOKUP($B10&amp;"2021INC", 'Business Segment'!$Q:$Q, 'Business Segment'!S:S), _xlfn.XLOOKUP($B10&amp;"2020INC", 'Business Segment'!$Q:$Q, 'Business Segment'!S:S))</f>
        <v>0.84572446261288936</v>
      </c>
      <c r="H10" s="2" t="s">
        <v>17</v>
      </c>
      <c r="I10" s="2" t="s">
        <v>17</v>
      </c>
    </row>
    <row r="11" spans="1:10" x14ac:dyDescent="0.55000000000000004">
      <c r="A11" s="5" t="s">
        <v>24</v>
      </c>
      <c r="B11" s="6" t="s">
        <v>25</v>
      </c>
      <c r="C11" s="2" t="s">
        <v>15</v>
      </c>
      <c r="D11" s="2" t="s">
        <v>20</v>
      </c>
      <c r="E11" s="2" t="s">
        <v>15</v>
      </c>
      <c r="F11" s="126">
        <f>AVERAGE(_xlfn.XLOOKUP($B11&amp;"2022INC", 'Business Segment'!$Q:$Q, 'Business Segment'!R:R), _xlfn.XLOOKUP($B11&amp;"2021INC", 'Business Segment'!$Q:$Q, 'Business Segment'!R:R), _xlfn.XLOOKUP($B11&amp;"2020INC", 'Business Segment'!$Q:$Q, 'Business Segment'!R:R))</f>
        <v>0.98263940729265631</v>
      </c>
      <c r="G11" s="126">
        <f>AVERAGE(_xlfn.XLOOKUP($B11&amp;"2022INC", 'Business Segment'!$Q:$Q, 'Business Segment'!S:S), _xlfn.XLOOKUP($B11&amp;"2021INC", 'Business Segment'!$Q:$Q, 'Business Segment'!S:S), _xlfn.XLOOKUP($B11&amp;"2020INC", 'Business Segment'!$Q:$Q, 'Business Segment'!S:S))</f>
        <v>1</v>
      </c>
      <c r="H11" s="2" t="s">
        <v>17</v>
      </c>
      <c r="I11" s="2" t="s">
        <v>15</v>
      </c>
    </row>
    <row r="12" spans="1:10" x14ac:dyDescent="0.55000000000000004">
      <c r="A12" s="5" t="s">
        <v>26</v>
      </c>
      <c r="B12" s="6" t="s">
        <v>27</v>
      </c>
      <c r="C12" s="2" t="s">
        <v>15</v>
      </c>
      <c r="D12" s="2" t="s">
        <v>23</v>
      </c>
      <c r="E12" s="2" t="s">
        <v>15</v>
      </c>
      <c r="F12" s="126">
        <f>AVERAGE(_xlfn.XLOOKUP($B12&amp;"2022INC", 'Business Segment'!$Q:$Q, 'Business Segment'!R:R), _xlfn.XLOOKUP($B12&amp;"2021INC", 'Business Segment'!$Q:$Q, 'Business Segment'!R:R), _xlfn.XLOOKUP($B12&amp;"2020INC", 'Business Segment'!$Q:$Q, 'Business Segment'!R:R))</f>
        <v>0.99292364990689019</v>
      </c>
      <c r="G12" s="126">
        <f>AVERAGE(_xlfn.XLOOKUP($B12&amp;"2022INC", 'Business Segment'!$Q:$Q, 'Business Segment'!S:S), _xlfn.XLOOKUP($B12&amp;"2021INC", 'Business Segment'!$Q:$Q, 'Business Segment'!S:S), _xlfn.XLOOKUP($B12&amp;"2020INC", 'Business Segment'!$Q:$Q, 'Business Segment'!S:S))</f>
        <v>0.78780246111053875</v>
      </c>
      <c r="H12" s="2" t="s">
        <v>15</v>
      </c>
      <c r="I12" s="2" t="s">
        <v>17</v>
      </c>
    </row>
    <row r="13" spans="1:10" x14ac:dyDescent="0.55000000000000004">
      <c r="A13" s="5" t="s">
        <v>28</v>
      </c>
      <c r="B13" s="6" t="s">
        <v>29</v>
      </c>
      <c r="C13" s="2" t="s">
        <v>15</v>
      </c>
      <c r="D13" s="2" t="s">
        <v>16</v>
      </c>
      <c r="E13" s="2" t="s">
        <v>15</v>
      </c>
      <c r="F13" s="126">
        <f>AVERAGE(_xlfn.XLOOKUP($B13&amp;"2022INC", 'Business Segment'!$Q:$Q, 'Business Segment'!R:R), _xlfn.XLOOKUP($B13&amp;"2021INC", 'Business Segment'!$Q:$Q, 'Business Segment'!R:R), _xlfn.XLOOKUP($B13&amp;"2020INC", 'Business Segment'!$Q:$Q, 'Business Segment'!R:R))</f>
        <v>1</v>
      </c>
      <c r="G13" s="126">
        <f>AVERAGE(_xlfn.XLOOKUP($B13&amp;"2022INC", 'Business Segment'!$Q:$Q, 'Business Segment'!S:S), _xlfn.XLOOKUP($B13&amp;"2021INC", 'Business Segment'!$Q:$Q, 'Business Segment'!S:S), _xlfn.XLOOKUP($B13&amp;"2020INC", 'Business Segment'!$Q:$Q, 'Business Segment'!S:S))</f>
        <v>0.73853993198748702</v>
      </c>
      <c r="H13" s="2" t="s">
        <v>17</v>
      </c>
      <c r="I13" s="2" t="s">
        <v>17</v>
      </c>
    </row>
    <row r="14" spans="1:10" x14ac:dyDescent="0.55000000000000004">
      <c r="A14" s="5" t="s">
        <v>30</v>
      </c>
      <c r="B14" s="6" t="s">
        <v>31</v>
      </c>
      <c r="C14" s="2" t="s">
        <v>15</v>
      </c>
      <c r="D14" s="2" t="s">
        <v>23</v>
      </c>
      <c r="E14" s="2" t="s">
        <v>15</v>
      </c>
      <c r="F14" s="126">
        <f>AVERAGE(_xlfn.XLOOKUP($B14&amp;"2022INC", 'Business Segment'!$Q:$Q, 'Business Segment'!R:R), _xlfn.XLOOKUP($B14&amp;"2021INC", 'Business Segment'!$Q:$Q, 'Business Segment'!R:R), _xlfn.XLOOKUP($B14&amp;"2020INC", 'Business Segment'!$Q:$Q, 'Business Segment'!R:R))</f>
        <v>0.98878479096409233</v>
      </c>
      <c r="G14" s="126">
        <f>AVERAGE(_xlfn.XLOOKUP($B14&amp;"2022INC", 'Business Segment'!$Q:$Q, 'Business Segment'!S:S), _xlfn.XLOOKUP($B14&amp;"2021INC", 'Business Segment'!$Q:$Q, 'Business Segment'!S:S), _xlfn.XLOOKUP($B14&amp;"2020INC", 'Business Segment'!$Q:$Q, 'Business Segment'!S:S))</f>
        <v>0.45890154090485785</v>
      </c>
      <c r="H14" s="2" t="s">
        <v>17</v>
      </c>
      <c r="I14" s="2" t="s">
        <v>17</v>
      </c>
    </row>
    <row r="15" spans="1:10" x14ac:dyDescent="0.55000000000000004">
      <c r="A15" s="5" t="s">
        <v>32</v>
      </c>
      <c r="B15" s="6" t="s">
        <v>33</v>
      </c>
      <c r="C15" s="2" t="s">
        <v>15</v>
      </c>
      <c r="D15" s="2" t="s">
        <v>23</v>
      </c>
      <c r="E15" s="2" t="s">
        <v>15</v>
      </c>
      <c r="F15" s="126">
        <f>AVERAGE(_xlfn.XLOOKUP($B15&amp;"2022INC", 'Business Segment'!$Q:$Q, 'Business Segment'!R:R), _xlfn.XLOOKUP($B15&amp;"2021INC", 'Business Segment'!$Q:$Q, 'Business Segment'!R:R), _xlfn.XLOOKUP($B15&amp;"2020INC", 'Business Segment'!$Q:$Q, 'Business Segment'!R:R))</f>
        <v>1</v>
      </c>
      <c r="G15" s="126">
        <f>AVERAGE(_xlfn.XLOOKUP($B15&amp;"2022INC", 'Business Segment'!$Q:$Q, 'Business Segment'!S:S), _xlfn.XLOOKUP($B15&amp;"2021INC", 'Business Segment'!$Q:$Q, 'Business Segment'!S:S), _xlfn.XLOOKUP($B15&amp;"2020INC", 'Business Segment'!$Q:$Q, 'Business Segment'!S:S))</f>
        <v>0.54509695607343278</v>
      </c>
      <c r="H15" s="2" t="s">
        <v>17</v>
      </c>
      <c r="I15" s="2" t="s">
        <v>17</v>
      </c>
    </row>
    <row r="16" spans="1:10" x14ac:dyDescent="0.55000000000000004">
      <c r="A16" s="5" t="s">
        <v>34</v>
      </c>
      <c r="B16" s="6" t="s">
        <v>35</v>
      </c>
      <c r="C16" s="2" t="s">
        <v>15</v>
      </c>
      <c r="D16" s="2" t="s">
        <v>23</v>
      </c>
      <c r="E16" s="2" t="s">
        <v>15</v>
      </c>
      <c r="F16" s="126">
        <f>AVERAGE(_xlfn.XLOOKUP($B16&amp;"2022INC", 'Business Segment'!$Q:$Q, 'Business Segment'!R:R), _xlfn.XLOOKUP($B16&amp;"2021INC", 'Business Segment'!$Q:$Q, 'Business Segment'!R:R), _xlfn.XLOOKUP($B16&amp;"2020INC", 'Business Segment'!$Q:$Q, 'Business Segment'!R:R))</f>
        <v>0.87766384109696105</v>
      </c>
      <c r="G16" s="126">
        <f>AVERAGE(_xlfn.XLOOKUP($B16&amp;"2022INC", 'Business Segment'!$Q:$Q, 'Business Segment'!S:S), _xlfn.XLOOKUP($B16&amp;"2021INC", 'Business Segment'!$Q:$Q, 'Business Segment'!S:S), _xlfn.XLOOKUP($B16&amp;"2020INC", 'Business Segment'!$Q:$Q, 'Business Segment'!S:S))</f>
        <v>0.65796085006517724</v>
      </c>
      <c r="H16" s="2" t="s">
        <v>17</v>
      </c>
      <c r="I16" s="2" t="s">
        <v>17</v>
      </c>
    </row>
    <row r="17" spans="1:9" x14ac:dyDescent="0.55000000000000004">
      <c r="A17" s="5" t="s">
        <v>36</v>
      </c>
      <c r="B17" s="6" t="s">
        <v>37</v>
      </c>
      <c r="C17" s="2" t="s">
        <v>15</v>
      </c>
      <c r="D17" s="2" t="s">
        <v>20</v>
      </c>
      <c r="E17" s="2" t="s">
        <v>15</v>
      </c>
      <c r="F17" s="126">
        <f>AVERAGE(_xlfn.XLOOKUP($B17&amp;"2022INC", 'Business Segment'!$Q:$Q, 'Business Segment'!R:R), _xlfn.XLOOKUP($B17&amp;"2021INC", 'Business Segment'!$Q:$Q, 'Business Segment'!R:R), _xlfn.XLOOKUP($B17&amp;"2020INC", 'Business Segment'!$Q:$Q, 'Business Segment'!R:R))</f>
        <v>0.90493728631556836</v>
      </c>
      <c r="G17" s="126">
        <f>AVERAGE(_xlfn.XLOOKUP($B17&amp;"2022INC", 'Business Segment'!$Q:$Q, 'Business Segment'!S:S), _xlfn.XLOOKUP($B17&amp;"2021INC", 'Business Segment'!$Q:$Q, 'Business Segment'!S:S), _xlfn.XLOOKUP($B17&amp;"2020INC", 'Business Segment'!$Q:$Q, 'Business Segment'!S:S))</f>
        <v>0.72455949246365137</v>
      </c>
      <c r="H17" s="2" t="s">
        <v>15</v>
      </c>
      <c r="I17" s="2" t="s">
        <v>17</v>
      </c>
    </row>
    <row r="18" spans="1:9" x14ac:dyDescent="0.55000000000000004">
      <c r="A18" s="5" t="s">
        <v>38</v>
      </c>
      <c r="B18" s="6" t="s">
        <v>39</v>
      </c>
      <c r="C18" s="2" t="s">
        <v>15</v>
      </c>
      <c r="D18" s="2" t="s">
        <v>23</v>
      </c>
      <c r="E18" s="2" t="s">
        <v>15</v>
      </c>
      <c r="F18" s="126">
        <f>AVERAGE(_xlfn.XLOOKUP($B18&amp;"2022INC", 'Business Segment'!$Q:$Q, 'Business Segment'!R:R), _xlfn.XLOOKUP($B18&amp;"2021INC", 'Business Segment'!$Q:$Q, 'Business Segment'!R:R), _xlfn.XLOOKUP($B18&amp;"2020INC", 'Business Segment'!$Q:$Q, 'Business Segment'!R:R))</f>
        <v>1</v>
      </c>
      <c r="G18" s="126">
        <f>AVERAGE(_xlfn.XLOOKUP($B18&amp;"2022INC", 'Business Segment'!$Q:$Q, 'Business Segment'!S:S), _xlfn.XLOOKUP($B18&amp;"2021INC", 'Business Segment'!$Q:$Q, 'Business Segment'!S:S), _xlfn.XLOOKUP($B18&amp;"2020INC", 'Business Segment'!$Q:$Q, 'Business Segment'!S:S))</f>
        <v>0.82606001215681013</v>
      </c>
      <c r="H18" s="2" t="s">
        <v>15</v>
      </c>
      <c r="I18" s="2" t="s">
        <v>17</v>
      </c>
    </row>
    <row r="19" spans="1:9" x14ac:dyDescent="0.55000000000000004">
      <c r="A19" s="5" t="s">
        <v>40</v>
      </c>
      <c r="B19" s="6" t="s">
        <v>41</v>
      </c>
      <c r="C19" s="2" t="s">
        <v>17</v>
      </c>
      <c r="D19" s="2" t="s">
        <v>23</v>
      </c>
      <c r="E19" s="2" t="s">
        <v>15</v>
      </c>
      <c r="F19" s="126">
        <f>AVERAGE(_xlfn.XLOOKUP($B19&amp;"2022INC", 'Business Segment'!$Q:$Q, 'Business Segment'!R:R), _xlfn.XLOOKUP($B19&amp;"2021INC", 'Business Segment'!$Q:$Q, 'Business Segment'!R:R), _xlfn.XLOOKUP($B19&amp;"2020INC", 'Business Segment'!$Q:$Q, 'Business Segment'!R:R))</f>
        <v>1</v>
      </c>
      <c r="G19" s="126">
        <f>AVERAGE(_xlfn.XLOOKUP($B19&amp;"2022INC", 'Business Segment'!$Q:$Q, 'Business Segment'!S:S), _xlfn.XLOOKUP($B19&amp;"2021INC", 'Business Segment'!$Q:$Q, 'Business Segment'!S:S), _xlfn.XLOOKUP($B19&amp;"2020INC", 'Business Segment'!$Q:$Q, 'Business Segment'!S:S))</f>
        <v>0.78034896487086136</v>
      </c>
      <c r="H19" s="2" t="s">
        <v>17</v>
      </c>
      <c r="I19" s="2" t="s">
        <v>17</v>
      </c>
    </row>
    <row r="20" spans="1:9" x14ac:dyDescent="0.55000000000000004">
      <c r="A20" s="5" t="s">
        <v>42</v>
      </c>
      <c r="B20" s="6" t="s">
        <v>43</v>
      </c>
      <c r="C20" s="2" t="s">
        <v>15</v>
      </c>
      <c r="D20" s="2" t="s">
        <v>23</v>
      </c>
      <c r="E20" s="2" t="s">
        <v>15</v>
      </c>
      <c r="F20" s="126">
        <f>AVERAGE(_xlfn.XLOOKUP($B20&amp;"2022INC", 'Business Segment'!$Q:$Q, 'Business Segment'!R:R), _xlfn.XLOOKUP($B20&amp;"2021INC", 'Business Segment'!$Q:$Q, 'Business Segment'!R:R), _xlfn.XLOOKUP($B20&amp;"2020INC", 'Business Segment'!$Q:$Q, 'Business Segment'!R:R))</f>
        <v>0.93890685919737393</v>
      </c>
      <c r="G20" s="126">
        <f>AVERAGE(_xlfn.XLOOKUP($B20&amp;"2022INC", 'Business Segment'!$Q:$Q, 'Business Segment'!S:S), _xlfn.XLOOKUP($B20&amp;"2021INC", 'Business Segment'!$Q:$Q, 'Business Segment'!S:S), _xlfn.XLOOKUP($B20&amp;"2020INC", 'Business Segment'!$Q:$Q, 'Business Segment'!S:S))</f>
        <v>0.90252674908428487</v>
      </c>
      <c r="H20" s="2" t="s">
        <v>17</v>
      </c>
      <c r="I20" s="2" t="s">
        <v>15</v>
      </c>
    </row>
    <row r="21" spans="1:9" x14ac:dyDescent="0.55000000000000004">
      <c r="A21" s="5" t="s">
        <v>44</v>
      </c>
      <c r="B21" s="6" t="s">
        <v>45</v>
      </c>
      <c r="C21" s="2" t="s">
        <v>15</v>
      </c>
      <c r="D21" s="2" t="s">
        <v>16</v>
      </c>
      <c r="E21" s="2" t="s">
        <v>15</v>
      </c>
      <c r="F21" s="126">
        <f>AVERAGE(_xlfn.XLOOKUP($B21&amp;"2022INC", 'Business Segment'!$Q:$Q, 'Business Segment'!R:R), _xlfn.XLOOKUP($B21&amp;"2021INC", 'Business Segment'!$Q:$Q, 'Business Segment'!R:R), _xlfn.XLOOKUP($B21&amp;"2020INC", 'Business Segment'!$Q:$Q, 'Business Segment'!R:R))</f>
        <v>0.98931799506984397</v>
      </c>
      <c r="G21" s="126">
        <f>AVERAGE(_xlfn.XLOOKUP($B21&amp;"2022INC", 'Business Segment'!$Q:$Q, 'Business Segment'!S:S), _xlfn.XLOOKUP($B21&amp;"2021INC", 'Business Segment'!$Q:$Q, 'Business Segment'!S:S), _xlfn.XLOOKUP($B21&amp;"2020INC", 'Business Segment'!$Q:$Q, 'Business Segment'!S:S))</f>
        <v>1</v>
      </c>
      <c r="H21" s="2" t="s">
        <v>17</v>
      </c>
      <c r="I21" s="2" t="s">
        <v>17</v>
      </c>
    </row>
    <row r="22" spans="1:9" x14ac:dyDescent="0.55000000000000004">
      <c r="A22" s="5" t="s">
        <v>46</v>
      </c>
      <c r="B22" s="6" t="s">
        <v>47</v>
      </c>
      <c r="C22" s="2" t="s">
        <v>15</v>
      </c>
      <c r="D22" s="2" t="s">
        <v>23</v>
      </c>
      <c r="E22" s="2" t="s">
        <v>15</v>
      </c>
      <c r="F22" s="126">
        <f>AVERAGE(_xlfn.XLOOKUP($B22&amp;"2022INC", 'Business Segment'!$Q:$Q, 'Business Segment'!R:R), _xlfn.XLOOKUP($B22&amp;"2021INC", 'Business Segment'!$Q:$Q, 'Business Segment'!R:R), _xlfn.XLOOKUP($B22&amp;"2020INC", 'Business Segment'!$Q:$Q, 'Business Segment'!R:R))</f>
        <v>0.98610613472083752</v>
      </c>
      <c r="G22" s="126">
        <f>AVERAGE(_xlfn.XLOOKUP($B22&amp;"2022INC", 'Business Segment'!$Q:$Q, 'Business Segment'!S:S), _xlfn.XLOOKUP($B22&amp;"2021INC", 'Business Segment'!$Q:$Q, 'Business Segment'!S:S), _xlfn.XLOOKUP($B22&amp;"2020INC", 'Business Segment'!$Q:$Q, 'Business Segment'!S:S))</f>
        <v>0.99461878333957054</v>
      </c>
      <c r="H22" s="2" t="s">
        <v>17</v>
      </c>
      <c r="I22" s="2" t="s">
        <v>15</v>
      </c>
    </row>
    <row r="23" spans="1:9" x14ac:dyDescent="0.55000000000000004">
      <c r="A23" s="5" t="s">
        <v>48</v>
      </c>
      <c r="B23" s="6" t="s">
        <v>49</v>
      </c>
      <c r="C23" s="2" t="s">
        <v>15</v>
      </c>
      <c r="D23" s="2" t="s">
        <v>20</v>
      </c>
      <c r="E23" s="2" t="s">
        <v>15</v>
      </c>
      <c r="F23" s="126">
        <f>AVERAGE(_xlfn.XLOOKUP($B23&amp;"2022INC", 'Business Segment'!$Q:$Q, 'Business Segment'!R:R), _xlfn.XLOOKUP($B23&amp;"2021INC", 'Business Segment'!$Q:$Q, 'Business Segment'!R:R), _xlfn.XLOOKUP($B23&amp;"2020INC", 'Business Segment'!$Q:$Q, 'Business Segment'!R:R))</f>
        <v>0.92382203646104399</v>
      </c>
      <c r="G23" s="126">
        <f>AVERAGE(_xlfn.XLOOKUP($B23&amp;"2022INC", 'Business Segment'!$Q:$Q, 'Business Segment'!S:S), _xlfn.XLOOKUP($B23&amp;"2021INC", 'Business Segment'!$Q:$Q, 'Business Segment'!S:S), _xlfn.XLOOKUP($B23&amp;"2020INC", 'Business Segment'!$Q:$Q, 'Business Segment'!S:S))</f>
        <v>0.85354453378979878</v>
      </c>
      <c r="H23" s="2" t="s">
        <v>17</v>
      </c>
      <c r="I23" s="2" t="s">
        <v>15</v>
      </c>
    </row>
    <row r="24" spans="1:9" x14ac:dyDescent="0.55000000000000004">
      <c r="A24" s="5" t="s">
        <v>50</v>
      </c>
      <c r="B24" s="6" t="s">
        <v>51</v>
      </c>
      <c r="C24" s="2" t="s">
        <v>17</v>
      </c>
      <c r="D24" s="2" t="s">
        <v>23</v>
      </c>
      <c r="E24" s="2" t="s">
        <v>15</v>
      </c>
      <c r="F24" s="126">
        <f>AVERAGE(_xlfn.XLOOKUP($B24&amp;"2022INC", 'Business Segment'!$Q:$Q, 'Business Segment'!R:R), _xlfn.XLOOKUP($B24&amp;"2021INC", 'Business Segment'!$Q:$Q, 'Business Segment'!R:R), _xlfn.XLOOKUP($B24&amp;"2020INC", 'Business Segment'!$Q:$Q, 'Business Segment'!R:R))</f>
        <v>1</v>
      </c>
      <c r="G24" s="126">
        <f>AVERAGE(_xlfn.XLOOKUP($B24&amp;"2022INC", 'Business Segment'!$Q:$Q, 'Business Segment'!S:S), _xlfn.XLOOKUP($B24&amp;"2021INC", 'Business Segment'!$Q:$Q, 'Business Segment'!S:S), _xlfn.XLOOKUP($B24&amp;"2020INC", 'Business Segment'!$Q:$Q, 'Business Segment'!S:S))</f>
        <v>0.90917323043042109</v>
      </c>
      <c r="H24" s="2" t="s">
        <v>17</v>
      </c>
      <c r="I24" s="2" t="s">
        <v>17</v>
      </c>
    </row>
    <row r="25" spans="1:9" x14ac:dyDescent="0.55000000000000004">
      <c r="A25" s="5" t="s">
        <v>52</v>
      </c>
      <c r="B25" s="6" t="s">
        <v>53</v>
      </c>
      <c r="C25" s="2" t="s">
        <v>15</v>
      </c>
      <c r="D25" s="2" t="s">
        <v>54</v>
      </c>
      <c r="E25" s="2" t="s">
        <v>15</v>
      </c>
      <c r="F25" s="126">
        <f>AVERAGE(_xlfn.XLOOKUP($B25&amp;"2022INC", 'Business Segment'!$Q:$Q, 'Business Segment'!R:R), _xlfn.XLOOKUP($B25&amp;"2021INC", 'Business Segment'!$Q:$Q, 'Business Segment'!R:R), _xlfn.XLOOKUP($B25&amp;"2020INC", 'Business Segment'!$Q:$Q, 'Business Segment'!R:R))</f>
        <v>1</v>
      </c>
      <c r="G25" s="126">
        <f>AVERAGE(_xlfn.XLOOKUP($B25&amp;"2022INC", 'Business Segment'!$Q:$Q, 'Business Segment'!S:S), _xlfn.XLOOKUP($B25&amp;"2021INC", 'Business Segment'!$Q:$Q, 'Business Segment'!S:S), _xlfn.XLOOKUP($B25&amp;"2020INC", 'Business Segment'!$Q:$Q, 'Business Segment'!S:S))</f>
        <v>1</v>
      </c>
      <c r="H25" s="2" t="s">
        <v>15</v>
      </c>
      <c r="I25" s="2" t="s">
        <v>17</v>
      </c>
    </row>
    <row r="26" spans="1:9" x14ac:dyDescent="0.55000000000000004">
      <c r="A26" s="5" t="s">
        <v>55</v>
      </c>
      <c r="B26" s="6" t="s">
        <v>56</v>
      </c>
      <c r="C26" s="2" t="s">
        <v>15</v>
      </c>
      <c r="D26" s="2" t="s">
        <v>20</v>
      </c>
      <c r="E26" s="2" t="s">
        <v>15</v>
      </c>
      <c r="F26" s="126">
        <f>AVERAGE(_xlfn.XLOOKUP($B26&amp;"2022INC", 'Business Segment'!$Q:$Q, 'Business Segment'!R:R), _xlfn.XLOOKUP($B26&amp;"2021INC", 'Business Segment'!$Q:$Q, 'Business Segment'!R:R), _xlfn.XLOOKUP($B26&amp;"2020INC", 'Business Segment'!$Q:$Q, 'Business Segment'!R:R))</f>
        <v>1</v>
      </c>
      <c r="G26" s="126">
        <f>AVERAGE(_xlfn.XLOOKUP($B26&amp;"2022INC", 'Business Segment'!$Q:$Q, 'Business Segment'!S:S), _xlfn.XLOOKUP($B26&amp;"2021INC", 'Business Segment'!$Q:$Q, 'Business Segment'!S:S), _xlfn.XLOOKUP($B26&amp;"2020INC", 'Business Segment'!$Q:$Q, 'Business Segment'!S:S))</f>
        <v>1</v>
      </c>
      <c r="H26" s="2" t="s">
        <v>17</v>
      </c>
      <c r="I26" s="2" t="s">
        <v>15</v>
      </c>
    </row>
    <row r="27" spans="1:9" x14ac:dyDescent="0.55000000000000004">
      <c r="A27" s="5" t="s">
        <v>57</v>
      </c>
      <c r="B27" s="6" t="s">
        <v>58</v>
      </c>
      <c r="C27" s="2" t="s">
        <v>17</v>
      </c>
      <c r="D27" s="2" t="s">
        <v>596</v>
      </c>
      <c r="E27" s="2" t="s">
        <v>15</v>
      </c>
      <c r="F27" s="126">
        <f>AVERAGE(_xlfn.XLOOKUP($B27&amp;"2022INC", 'Business Segment'!$Q:$Q, 'Business Segment'!R:R), _xlfn.XLOOKUP($B27&amp;"2021INC", 'Business Segment'!$Q:$Q, 'Business Segment'!R:R), _xlfn.XLOOKUP($B27&amp;"2020INC", 'Business Segment'!$Q:$Q, 'Business Segment'!R:R))</f>
        <v>0.79046188266806949</v>
      </c>
      <c r="G27" s="126">
        <f>AVERAGE(_xlfn.XLOOKUP($B27&amp;"2022INC", 'Business Segment'!$Q:$Q, 'Business Segment'!S:S), _xlfn.XLOOKUP($B27&amp;"2021INC", 'Business Segment'!$Q:$Q, 'Business Segment'!S:S), _xlfn.XLOOKUP($B27&amp;"2020INC", 'Business Segment'!$Q:$Q, 'Business Segment'!S:S))</f>
        <v>1</v>
      </c>
      <c r="H27" s="2" t="s">
        <v>17</v>
      </c>
      <c r="I27" s="2" t="s">
        <v>17</v>
      </c>
    </row>
    <row r="28" spans="1:9" x14ac:dyDescent="0.55000000000000004">
      <c r="A28" s="5" t="s">
        <v>59</v>
      </c>
      <c r="B28" s="6" t="s">
        <v>60</v>
      </c>
      <c r="C28" s="2" t="s">
        <v>15</v>
      </c>
      <c r="D28" s="2" t="s">
        <v>16</v>
      </c>
      <c r="E28" s="2" t="s">
        <v>15</v>
      </c>
      <c r="F28" s="126">
        <f>AVERAGE(_xlfn.XLOOKUP($B28&amp;"2022INC", 'Business Segment'!$Q:$Q, 'Business Segment'!R:R), _xlfn.XLOOKUP($B28&amp;"2021INC", 'Business Segment'!$Q:$Q, 'Business Segment'!R:R), _xlfn.XLOOKUP($B28&amp;"2020INC", 'Business Segment'!$Q:$Q, 'Business Segment'!R:R))</f>
        <v>0.99910991510613201</v>
      </c>
      <c r="G28" s="126">
        <f>AVERAGE(_xlfn.XLOOKUP($B28&amp;"2022INC", 'Business Segment'!$Q:$Q, 'Business Segment'!S:S), _xlfn.XLOOKUP($B28&amp;"2021INC", 'Business Segment'!$Q:$Q, 'Business Segment'!S:S), _xlfn.XLOOKUP($B28&amp;"2020INC", 'Business Segment'!$Q:$Q, 'Business Segment'!S:S))</f>
        <v>1</v>
      </c>
      <c r="H28" s="2" t="s">
        <v>17</v>
      </c>
      <c r="I28" s="2" t="s">
        <v>17</v>
      </c>
    </row>
    <row r="29" spans="1:9" x14ac:dyDescent="0.55000000000000004">
      <c r="A29" s="5" t="s">
        <v>61</v>
      </c>
      <c r="B29" s="6" t="s">
        <v>62</v>
      </c>
      <c r="C29" s="2" t="s">
        <v>15</v>
      </c>
      <c r="D29" s="2" t="s">
        <v>63</v>
      </c>
      <c r="E29" s="2" t="s">
        <v>15</v>
      </c>
      <c r="F29" s="126">
        <f>AVERAGE(_xlfn.XLOOKUP($B29&amp;"2022INC", 'Business Segment'!$Q:$Q, 'Business Segment'!R:R), _xlfn.XLOOKUP($B29&amp;"2021INC", 'Business Segment'!$Q:$Q, 'Business Segment'!R:R), _xlfn.XLOOKUP($B29&amp;"2020INC", 'Business Segment'!$Q:$Q, 'Business Segment'!R:R))</f>
        <v>0.7255042536845574</v>
      </c>
      <c r="G29" s="126">
        <f>AVERAGE(_xlfn.XLOOKUP($B29&amp;"2022INC", 'Business Segment'!$Q:$Q, 'Business Segment'!S:S), _xlfn.XLOOKUP($B29&amp;"2021INC", 'Business Segment'!$Q:$Q, 'Business Segment'!S:S), _xlfn.XLOOKUP($B29&amp;"2020INC", 'Business Segment'!$Q:$Q, 'Business Segment'!S:S))</f>
        <v>0.69237454548251698</v>
      </c>
      <c r="H29" s="2" t="s">
        <v>17</v>
      </c>
      <c r="I29" s="2" t="s">
        <v>17</v>
      </c>
    </row>
    <row r="30" spans="1:9" x14ac:dyDescent="0.55000000000000004">
      <c r="A30" s="5" t="s">
        <v>64</v>
      </c>
      <c r="B30" s="6" t="s">
        <v>65</v>
      </c>
      <c r="C30" s="2" t="s">
        <v>15</v>
      </c>
      <c r="D30" s="2" t="s">
        <v>20</v>
      </c>
      <c r="E30" s="2" t="s">
        <v>15</v>
      </c>
      <c r="F30" s="126">
        <f>AVERAGE(_xlfn.XLOOKUP($B30&amp;"2022INC", 'Business Segment'!$Q:$Q, 'Business Segment'!R:R), _xlfn.XLOOKUP($B30&amp;"2021INC", 'Business Segment'!$Q:$Q, 'Business Segment'!R:R), _xlfn.XLOOKUP($B30&amp;"2020INC", 'Business Segment'!$Q:$Q, 'Business Segment'!R:R))</f>
        <v>0.95500034991951843</v>
      </c>
      <c r="G30" s="126">
        <f>AVERAGE(_xlfn.XLOOKUP($B30&amp;"2022INC", 'Business Segment'!$Q:$Q, 'Business Segment'!S:S), _xlfn.XLOOKUP($B30&amp;"2021INC", 'Business Segment'!$Q:$Q, 'Business Segment'!S:S), _xlfn.XLOOKUP($B30&amp;"2020INC", 'Business Segment'!$Q:$Q, 'Business Segment'!S:S))</f>
        <v>1</v>
      </c>
      <c r="H30" s="2" t="s">
        <v>17</v>
      </c>
      <c r="I30" s="2" t="s">
        <v>15</v>
      </c>
    </row>
    <row r="31" spans="1:9" x14ac:dyDescent="0.55000000000000004">
      <c r="A31" s="5" t="s">
        <v>66</v>
      </c>
      <c r="B31" s="6" t="s">
        <v>67</v>
      </c>
      <c r="C31" s="2" t="s">
        <v>15</v>
      </c>
      <c r="D31" s="2" t="s">
        <v>16</v>
      </c>
      <c r="E31" s="2" t="s">
        <v>15</v>
      </c>
      <c r="F31" s="126">
        <f>AVERAGE(_xlfn.XLOOKUP($B31&amp;"2022INC", 'Business Segment'!$Q:$Q, 'Business Segment'!R:R), _xlfn.XLOOKUP($B31&amp;"2021INC", 'Business Segment'!$Q:$Q, 'Business Segment'!R:R), _xlfn.XLOOKUP($B31&amp;"2020INC", 'Business Segment'!$Q:$Q, 'Business Segment'!R:R))</f>
        <v>0.99748804705537031</v>
      </c>
      <c r="G31" s="126">
        <f>AVERAGE(_xlfn.XLOOKUP($B31&amp;"2022INC", 'Business Segment'!$Q:$Q, 'Business Segment'!S:S), _xlfn.XLOOKUP($B31&amp;"2021INC", 'Business Segment'!$Q:$Q, 'Business Segment'!S:S), _xlfn.XLOOKUP($B31&amp;"2020INC", 'Business Segment'!$Q:$Q, 'Business Segment'!S:S))</f>
        <v>0.84487532084622352</v>
      </c>
      <c r="H31" s="2" t="s">
        <v>17</v>
      </c>
      <c r="I31" s="2" t="s">
        <v>17</v>
      </c>
    </row>
    <row r="32" spans="1:9" x14ac:dyDescent="0.55000000000000004">
      <c r="A32" s="5" t="s">
        <v>68</v>
      </c>
      <c r="B32" s="6" t="s">
        <v>69</v>
      </c>
      <c r="C32" s="2" t="s">
        <v>15</v>
      </c>
      <c r="D32" s="2" t="s">
        <v>23</v>
      </c>
      <c r="E32" s="2" t="s">
        <v>15</v>
      </c>
      <c r="F32" s="126">
        <f>AVERAGE(_xlfn.XLOOKUP($B32&amp;"2022INC", 'Business Segment'!$Q:$Q, 'Business Segment'!R:R), _xlfn.XLOOKUP($B32&amp;"2021INC", 'Business Segment'!$Q:$Q, 'Business Segment'!R:R), _xlfn.XLOOKUP($B32&amp;"2020INC", 'Business Segment'!$Q:$Q, 'Business Segment'!R:R))</f>
        <v>1</v>
      </c>
      <c r="G32" s="126">
        <f>AVERAGE(_xlfn.XLOOKUP($B32&amp;"2022INC", 'Business Segment'!$Q:$Q, 'Business Segment'!S:S), _xlfn.XLOOKUP($B32&amp;"2021INC", 'Business Segment'!$Q:$Q, 'Business Segment'!S:S), _xlfn.XLOOKUP($B32&amp;"2020INC", 'Business Segment'!$Q:$Q, 'Business Segment'!S:S))</f>
        <v>1</v>
      </c>
      <c r="H32" s="2" t="s">
        <v>17</v>
      </c>
      <c r="I32" s="2" t="s">
        <v>15</v>
      </c>
    </row>
    <row r="33" spans="1:9" x14ac:dyDescent="0.55000000000000004">
      <c r="A33" s="5" t="s">
        <v>70</v>
      </c>
      <c r="B33" s="6" t="s">
        <v>71</v>
      </c>
      <c r="C33" s="2" t="s">
        <v>15</v>
      </c>
      <c r="D33" s="2" t="s">
        <v>16</v>
      </c>
      <c r="E33" s="2" t="s">
        <v>15</v>
      </c>
      <c r="F33" s="126">
        <f>AVERAGE(_xlfn.XLOOKUP($B33&amp;"2022INC", 'Business Segment'!$Q:$Q, 'Business Segment'!R:R), _xlfn.XLOOKUP($B33&amp;"2021INC", 'Business Segment'!$Q:$Q, 'Business Segment'!R:R), _xlfn.XLOOKUP($B33&amp;"2020INC", 'Business Segment'!$Q:$Q, 'Business Segment'!R:R))</f>
        <v>0.48073970254206772</v>
      </c>
      <c r="G33" s="126">
        <f>AVERAGE(_xlfn.XLOOKUP($B33&amp;"2022INC", 'Business Segment'!$Q:$Q, 'Business Segment'!S:S), _xlfn.XLOOKUP($B33&amp;"2021INC", 'Business Segment'!$Q:$Q, 'Business Segment'!S:S), _xlfn.XLOOKUP($B33&amp;"2020INC", 'Business Segment'!$Q:$Q, 'Business Segment'!S:S))</f>
        <v>1</v>
      </c>
      <c r="H33" s="2" t="s">
        <v>17</v>
      </c>
      <c r="I33" s="2" t="s">
        <v>17</v>
      </c>
    </row>
    <row r="34" spans="1:9" x14ac:dyDescent="0.55000000000000004">
      <c r="A34" s="5" t="s">
        <v>72</v>
      </c>
      <c r="B34" s="6" t="s">
        <v>73</v>
      </c>
      <c r="C34" s="2" t="s">
        <v>17</v>
      </c>
      <c r="D34" s="2" t="s">
        <v>74</v>
      </c>
      <c r="E34" s="2" t="s">
        <v>15</v>
      </c>
      <c r="F34" s="126">
        <f>AVERAGE(_xlfn.XLOOKUP($B34&amp;"2022INC", 'Business Segment'!$Q:$Q, 'Business Segment'!R:R), _xlfn.XLOOKUP($B34&amp;"2021INC", 'Business Segment'!$Q:$Q, 'Business Segment'!R:R), _xlfn.XLOOKUP($B34&amp;"2020INC", 'Business Segment'!$Q:$Q, 'Business Segment'!R:R))</f>
        <v>1</v>
      </c>
      <c r="G34" s="126">
        <f>AVERAGE(_xlfn.XLOOKUP($B34&amp;"2022INC", 'Business Segment'!$Q:$Q, 'Business Segment'!S:S), _xlfn.XLOOKUP($B34&amp;"2021INC", 'Business Segment'!$Q:$Q, 'Business Segment'!S:S), _xlfn.XLOOKUP($B34&amp;"2020INC", 'Business Segment'!$Q:$Q, 'Business Segment'!S:S))</f>
        <v>0.55332424506255773</v>
      </c>
      <c r="H34" s="2" t="s">
        <v>17</v>
      </c>
      <c r="I34" s="2" t="s">
        <v>17</v>
      </c>
    </row>
    <row r="35" spans="1:9" x14ac:dyDescent="0.55000000000000004">
      <c r="A35" s="5" t="s">
        <v>75</v>
      </c>
      <c r="B35" s="6" t="s">
        <v>76</v>
      </c>
      <c r="C35" s="2" t="s">
        <v>15</v>
      </c>
      <c r="D35" s="2" t="s">
        <v>23</v>
      </c>
      <c r="E35" s="2" t="s">
        <v>15</v>
      </c>
      <c r="F35" s="126">
        <f>AVERAGE(_xlfn.XLOOKUP($B35&amp;"2022INC", 'Business Segment'!$Q:$Q, 'Business Segment'!R:R), _xlfn.XLOOKUP($B35&amp;"2021INC", 'Business Segment'!$Q:$Q, 'Business Segment'!R:R), _xlfn.XLOOKUP($B35&amp;"2020INC", 'Business Segment'!$Q:$Q, 'Business Segment'!R:R))</f>
        <v>1</v>
      </c>
      <c r="G35" s="126">
        <f>AVERAGE(_xlfn.XLOOKUP($B35&amp;"2022INC", 'Business Segment'!$Q:$Q, 'Business Segment'!S:S), _xlfn.XLOOKUP($B35&amp;"2021INC", 'Business Segment'!$Q:$Q, 'Business Segment'!S:S), _xlfn.XLOOKUP($B35&amp;"2020INC", 'Business Segment'!$Q:$Q, 'Business Segment'!S:S))</f>
        <v>1</v>
      </c>
      <c r="H35" s="2" t="s">
        <v>17</v>
      </c>
      <c r="I35" s="2" t="s">
        <v>15</v>
      </c>
    </row>
    <row r="36" spans="1:9" x14ac:dyDescent="0.55000000000000004">
      <c r="A36" s="5" t="s">
        <v>77</v>
      </c>
      <c r="B36" s="6" t="s">
        <v>78</v>
      </c>
      <c r="C36" s="2" t="s">
        <v>15</v>
      </c>
      <c r="D36" s="2" t="s">
        <v>16</v>
      </c>
      <c r="E36" s="2" t="s">
        <v>15</v>
      </c>
      <c r="F36" s="126">
        <f>AVERAGE(_xlfn.XLOOKUP($B36&amp;"2022INC", 'Business Segment'!$Q:$Q, 'Business Segment'!R:R), _xlfn.XLOOKUP($B36&amp;"2021INC", 'Business Segment'!$Q:$Q, 'Business Segment'!R:R), _xlfn.XLOOKUP($B36&amp;"2020INC", 'Business Segment'!$Q:$Q, 'Business Segment'!R:R))</f>
        <v>1</v>
      </c>
      <c r="G36" s="126">
        <f>AVERAGE(_xlfn.XLOOKUP($B36&amp;"2022INC", 'Business Segment'!$Q:$Q, 'Business Segment'!S:S), _xlfn.XLOOKUP($B36&amp;"2021INC", 'Business Segment'!$Q:$Q, 'Business Segment'!S:S), _xlfn.XLOOKUP($B36&amp;"2020INC", 'Business Segment'!$Q:$Q, 'Business Segment'!S:S))</f>
        <v>1</v>
      </c>
      <c r="H36" s="2" t="s">
        <v>15</v>
      </c>
      <c r="I36" s="2" t="s">
        <v>17</v>
      </c>
    </row>
    <row r="37" spans="1:9" x14ac:dyDescent="0.55000000000000004">
      <c r="A37" s="5" t="s">
        <v>79</v>
      </c>
      <c r="B37" s="6" t="s">
        <v>80</v>
      </c>
      <c r="C37" s="2" t="s">
        <v>15</v>
      </c>
      <c r="D37" s="2" t="s">
        <v>23</v>
      </c>
      <c r="E37" s="2" t="s">
        <v>15</v>
      </c>
      <c r="F37" s="126">
        <f>AVERAGE(_xlfn.XLOOKUP($B37&amp;"2022INC", 'Business Segment'!$Q:$Q, 'Business Segment'!R:R), _xlfn.XLOOKUP($B37&amp;"2021INC", 'Business Segment'!$Q:$Q, 'Business Segment'!R:R), _xlfn.XLOOKUP($B37&amp;"2020INC", 'Business Segment'!$Q:$Q, 'Business Segment'!R:R))</f>
        <v>1</v>
      </c>
      <c r="G37" s="126">
        <f>AVERAGE(_xlfn.XLOOKUP($B37&amp;"2022INC", 'Business Segment'!$Q:$Q, 'Business Segment'!S:S), _xlfn.XLOOKUP($B37&amp;"2021INC", 'Business Segment'!$Q:$Q, 'Business Segment'!S:S), _xlfn.XLOOKUP($B37&amp;"2020INC", 'Business Segment'!$Q:$Q, 'Business Segment'!S:S))</f>
        <v>1</v>
      </c>
      <c r="H37" s="2" t="s">
        <v>17</v>
      </c>
      <c r="I37" s="2" t="s">
        <v>15</v>
      </c>
    </row>
    <row r="38" spans="1:9" x14ac:dyDescent="0.55000000000000004">
      <c r="A38" s="5" t="s">
        <v>81</v>
      </c>
      <c r="B38" s="6" t="s">
        <v>82</v>
      </c>
      <c r="C38" s="2" t="s">
        <v>17</v>
      </c>
      <c r="D38" s="2" t="s">
        <v>20</v>
      </c>
      <c r="E38" s="2" t="s">
        <v>15</v>
      </c>
      <c r="F38" s="126">
        <f>AVERAGE(_xlfn.XLOOKUP($B38&amp;"2022INC", 'Business Segment'!$Q:$Q, 'Business Segment'!R:R), _xlfn.XLOOKUP($B38&amp;"2021INC", 'Business Segment'!$Q:$Q, 'Business Segment'!R:R), _xlfn.XLOOKUP($B38&amp;"2020INC", 'Business Segment'!$Q:$Q, 'Business Segment'!R:R))</f>
        <v>1</v>
      </c>
      <c r="G38" s="126">
        <f>AVERAGE(_xlfn.XLOOKUP($B38&amp;"2022INC", 'Business Segment'!$Q:$Q, 'Business Segment'!S:S), _xlfn.XLOOKUP($B38&amp;"2021INC", 'Business Segment'!$Q:$Q, 'Business Segment'!S:S), _xlfn.XLOOKUP($B38&amp;"2020INC", 'Business Segment'!$Q:$Q, 'Business Segment'!S:S))</f>
        <v>0.94021523181560485</v>
      </c>
      <c r="H38" s="2" t="s">
        <v>17</v>
      </c>
      <c r="I38" s="2" t="s">
        <v>17</v>
      </c>
    </row>
    <row r="39" spans="1:9" x14ac:dyDescent="0.55000000000000004">
      <c r="A39" s="5" t="s">
        <v>83</v>
      </c>
      <c r="B39" s="6" t="s">
        <v>84</v>
      </c>
      <c r="C39" s="2" t="s">
        <v>15</v>
      </c>
      <c r="D39" s="2" t="s">
        <v>23</v>
      </c>
      <c r="E39" s="2" t="s">
        <v>15</v>
      </c>
      <c r="F39" s="126">
        <f>AVERAGE(_xlfn.XLOOKUP($B39&amp;"2022INC", 'Business Segment'!$Q:$Q, 'Business Segment'!R:R), _xlfn.XLOOKUP($B39&amp;"2021INC", 'Business Segment'!$Q:$Q, 'Business Segment'!R:R), _xlfn.XLOOKUP($B39&amp;"2020INC", 'Business Segment'!$Q:$Q, 'Business Segment'!R:R))</f>
        <v>0.9006934466912857</v>
      </c>
      <c r="G39" s="126">
        <f>AVERAGE(_xlfn.XLOOKUP($B39&amp;"2022INC", 'Business Segment'!$Q:$Q, 'Business Segment'!S:S), _xlfn.XLOOKUP($B39&amp;"2021INC", 'Business Segment'!$Q:$Q, 'Business Segment'!S:S), _xlfn.XLOOKUP($B39&amp;"2020INC", 'Business Segment'!$Q:$Q, 'Business Segment'!S:S))</f>
        <v>0.77261206466088883</v>
      </c>
      <c r="H39" s="2" t="s">
        <v>17</v>
      </c>
      <c r="I39" s="2" t="s">
        <v>17</v>
      </c>
    </row>
    <row r="40" spans="1:9" x14ac:dyDescent="0.55000000000000004">
      <c r="A40" s="5" t="s">
        <v>85</v>
      </c>
      <c r="B40" s="6" t="s">
        <v>86</v>
      </c>
      <c r="C40" s="2" t="s">
        <v>15</v>
      </c>
      <c r="D40" s="2" t="s">
        <v>23</v>
      </c>
      <c r="E40" s="2" t="s">
        <v>15</v>
      </c>
      <c r="F40" s="126">
        <f>AVERAGE(_xlfn.XLOOKUP($B40&amp;"2022INC", 'Business Segment'!$Q:$Q, 'Business Segment'!R:R), _xlfn.XLOOKUP($B40&amp;"2021INC", 'Business Segment'!$Q:$Q, 'Business Segment'!R:R), _xlfn.XLOOKUP($B40&amp;"2020INC", 'Business Segment'!$Q:$Q, 'Business Segment'!R:R))</f>
        <v>0.51515808957818798</v>
      </c>
      <c r="G40" s="126">
        <f>AVERAGE(_xlfn.XLOOKUP($B40&amp;"2022INC", 'Business Segment'!$Q:$Q, 'Business Segment'!S:S), _xlfn.XLOOKUP($B40&amp;"2021INC", 'Business Segment'!$Q:$Q, 'Business Segment'!S:S), _xlfn.XLOOKUP($B40&amp;"2020INC", 'Business Segment'!$Q:$Q, 'Business Segment'!S:S))</f>
        <v>0.84565740225850705</v>
      </c>
      <c r="H40" s="2" t="s">
        <v>17</v>
      </c>
      <c r="I40" s="2" t="s">
        <v>17</v>
      </c>
    </row>
    <row r="41" spans="1:9" x14ac:dyDescent="0.55000000000000004">
      <c r="A41" s="5" t="s">
        <v>87</v>
      </c>
      <c r="B41" s="6" t="s">
        <v>88</v>
      </c>
      <c r="C41" s="2" t="s">
        <v>15</v>
      </c>
      <c r="D41" s="2" t="s">
        <v>23</v>
      </c>
      <c r="E41" s="2" t="s">
        <v>15</v>
      </c>
      <c r="F41" s="126">
        <f>AVERAGE(_xlfn.XLOOKUP($B41&amp;"2022INC", 'Business Segment'!$Q:$Q, 'Business Segment'!R:R), _xlfn.XLOOKUP($B41&amp;"2021INC", 'Business Segment'!$Q:$Q, 'Business Segment'!R:R), _xlfn.XLOOKUP($B41&amp;"2020INC", 'Business Segment'!$Q:$Q, 'Business Segment'!R:R))</f>
        <v>0.95131842725084714</v>
      </c>
      <c r="G41" s="126">
        <f>AVERAGE(_xlfn.XLOOKUP($B41&amp;"2022INC", 'Business Segment'!$Q:$Q, 'Business Segment'!S:S), _xlfn.XLOOKUP($B41&amp;"2021INC", 'Business Segment'!$Q:$Q, 'Business Segment'!S:S), _xlfn.XLOOKUP($B41&amp;"2020INC", 'Business Segment'!$Q:$Q, 'Business Segment'!S:S))</f>
        <v>0.81185007260031694</v>
      </c>
      <c r="H41" s="2" t="s">
        <v>17</v>
      </c>
      <c r="I41" s="2" t="s">
        <v>17</v>
      </c>
    </row>
    <row r="42" spans="1:9" x14ac:dyDescent="0.55000000000000004">
      <c r="A42" s="5" t="s">
        <v>89</v>
      </c>
      <c r="B42" s="6" t="s">
        <v>90</v>
      </c>
      <c r="C42" s="2" t="s">
        <v>15</v>
      </c>
      <c r="D42" s="2" t="s">
        <v>20</v>
      </c>
      <c r="E42" s="2" t="s">
        <v>15</v>
      </c>
      <c r="F42" s="126">
        <f>AVERAGE(_xlfn.XLOOKUP($B42&amp;"2022INC", 'Business Segment'!$Q:$Q, 'Business Segment'!R:R), _xlfn.XLOOKUP($B42&amp;"2021INC", 'Business Segment'!$Q:$Q, 'Business Segment'!R:R), _xlfn.XLOOKUP($B42&amp;"2020INC", 'Business Segment'!$Q:$Q, 'Business Segment'!R:R))</f>
        <v>0.99148947350488925</v>
      </c>
      <c r="G42" s="126">
        <f>AVERAGE(_xlfn.XLOOKUP($B42&amp;"2022INC", 'Business Segment'!$Q:$Q, 'Business Segment'!S:S), _xlfn.XLOOKUP($B42&amp;"2021INC", 'Business Segment'!$Q:$Q, 'Business Segment'!S:S), _xlfn.XLOOKUP($B42&amp;"2020INC", 'Business Segment'!$Q:$Q, 'Business Segment'!S:S))</f>
        <v>0.59911060579535114</v>
      </c>
      <c r="H42" s="2" t="s">
        <v>17</v>
      </c>
      <c r="I42" s="2" t="s">
        <v>17</v>
      </c>
    </row>
    <row r="43" spans="1:9" ht="14.7" thickBot="1" x14ac:dyDescent="0.6">
      <c r="A43" s="310" t="s">
        <v>91</v>
      </c>
      <c r="B43" s="7" t="s">
        <v>92</v>
      </c>
      <c r="C43" s="8" t="s">
        <v>15</v>
      </c>
      <c r="D43" s="8" t="s">
        <v>20</v>
      </c>
      <c r="E43" s="8" t="s">
        <v>15</v>
      </c>
      <c r="F43" s="130">
        <f>AVERAGE(_xlfn.XLOOKUP($B43&amp;"2022INC", 'Business Segment'!$Q:$Q, 'Business Segment'!R:R), _xlfn.XLOOKUP($B43&amp;"2021INC", 'Business Segment'!$Q:$Q, 'Business Segment'!R:R), _xlfn.XLOOKUP($B43&amp;"2020INC", 'Business Segment'!$Q:$Q, 'Business Segment'!R:R))</f>
        <v>1</v>
      </c>
      <c r="G43" s="130">
        <f>AVERAGE(_xlfn.XLOOKUP($B43&amp;"2022INC", 'Business Segment'!$Q:$Q, 'Business Segment'!S:S), _xlfn.XLOOKUP($B43&amp;"2021INC", 'Business Segment'!$Q:$Q, 'Business Segment'!S:S), _xlfn.XLOOKUP($B43&amp;"2020INC", 'Business Segment'!$Q:$Q, 'Business Segment'!S:S))</f>
        <v>0.86467189233864328</v>
      </c>
      <c r="H43" s="8" t="s">
        <v>17</v>
      </c>
      <c r="I43" s="8" t="s">
        <v>17</v>
      </c>
    </row>
    <row r="44" spans="1:9" x14ac:dyDescent="0.55000000000000004">
      <c r="I44" s="1">
        <f>COUNTIF(I8:I43, "Yes")</f>
        <v>10</v>
      </c>
    </row>
    <row r="45" spans="1:9" x14ac:dyDescent="0.55000000000000004">
      <c r="A45" s="9" t="s">
        <v>93</v>
      </c>
    </row>
    <row r="46" spans="1:9" x14ac:dyDescent="0.55000000000000004">
      <c r="A46" s="1" t="s">
        <v>94</v>
      </c>
    </row>
    <row r="47" spans="1:9" x14ac:dyDescent="0.55000000000000004">
      <c r="A47" s="1" t="s">
        <v>601</v>
      </c>
    </row>
    <row r="48" spans="1:9" x14ac:dyDescent="0.55000000000000004">
      <c r="A48" s="1" t="s">
        <v>95</v>
      </c>
    </row>
    <row r="49" spans="1:1" x14ac:dyDescent="0.55000000000000004">
      <c r="A49" s="1" t="s">
        <v>603</v>
      </c>
    </row>
    <row r="50" spans="1:1" x14ac:dyDescent="0.55000000000000004">
      <c r="A50" s="1" t="s">
        <v>604</v>
      </c>
    </row>
  </sheetData>
  <mergeCells count="1">
    <mergeCell ref="A3:I3"/>
  </mergeCells>
  <conditionalFormatting sqref="A8:B43">
    <cfRule type="expression" dxfId="12" priority="28">
      <formula>"(blank)"</formula>
    </cfRule>
    <cfRule type="expression" dxfId="11" priority="29">
      <formula>#REF!</formula>
    </cfRule>
  </conditionalFormatting>
  <conditionalFormatting sqref="C1:C1048576 E8:E43">
    <cfRule type="cellIs" dxfId="10" priority="10" operator="equal">
      <formula>"No"</formula>
    </cfRule>
  </conditionalFormatting>
  <conditionalFormatting sqref="D8:D43">
    <cfRule type="cellIs" dxfId="9" priority="2" operator="equal">
      <formula>"BBB-"</formula>
    </cfRule>
    <cfRule type="cellIs" dxfId="8" priority="3" operator="equal">
      <formula>"B-"</formula>
    </cfRule>
    <cfRule type="cellIs" dxfId="7" priority="4" operator="equal">
      <formula>"BB-"</formula>
    </cfRule>
    <cfRule type="cellIs" dxfId="6" priority="7" operator="equal">
      <formula>"BB *-"</formula>
    </cfRule>
    <cfRule type="cellIs" dxfId="5" priority="8" operator="equal">
      <formula>"BBB"</formula>
    </cfRule>
  </conditionalFormatting>
  <conditionalFormatting sqref="F8:F43">
    <cfRule type="cellIs" dxfId="4" priority="17" operator="lessThan">
      <formula>0.7</formula>
    </cfRule>
  </conditionalFormatting>
  <conditionalFormatting sqref="G8:G43">
    <cfRule type="cellIs" dxfId="3" priority="1" operator="lessThan">
      <formula>0.9</formula>
    </cfRule>
  </conditionalFormatting>
  <conditionalFormatting sqref="H8:H43">
    <cfRule type="cellIs" dxfId="2" priority="11" operator="equal">
      <formula>"Yes"</formula>
    </cfRule>
  </conditionalFormatting>
  <conditionalFormatting sqref="I1:I2 I4 J5 I6:I1048576">
    <cfRule type="cellIs" dxfId="1" priority="24" operator="equal">
      <formula>"No"</formula>
    </cfRule>
    <cfRule type="cellIs" dxfId="0" priority="25" operator="equal">
      <formula>"Yes"</formula>
    </cfRule>
  </conditionalFormatting>
  <pageMargins left="0.7" right="0.7" top="0.75" bottom="0.75" header="0.3" footer="0.3"/>
  <pageSetup orientation="portrait" r:id="rId1"/>
  <headerFooter>
    <oddHeader>&amp;RDocket No. 20210015-El
OPC's 3rd INTs to FPL
Response to Question No. 147 - Full Proxy Group Screen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16F0C-26B6-47E0-8B9C-1B3D9B359F76}">
  <sheetPr codeName="Sheet17"/>
  <dimension ref="A1:AN1045"/>
  <sheetViews>
    <sheetView showRuler="0" topLeftCell="A190" zoomScale="80" zoomScaleNormal="80" workbookViewId="0">
      <selection activeCell="A213" sqref="A213"/>
    </sheetView>
  </sheetViews>
  <sheetFormatPr defaultColWidth="9.1015625" defaultRowHeight="12.3" x14ac:dyDescent="0.4"/>
  <cols>
    <col min="1" max="1" width="9.1015625" style="137"/>
    <col min="2" max="2" width="9" style="135" customWidth="1"/>
    <col min="3" max="3" width="9.1015625" style="136" customWidth="1"/>
    <col min="4" max="4" width="16.26171875" style="137" bestFit="1" customWidth="1"/>
    <col min="5" max="5" width="15.1015625" style="18" customWidth="1"/>
    <col min="6" max="6" width="15" style="18" customWidth="1"/>
    <col min="7" max="7" width="15.26171875" style="18" customWidth="1"/>
    <col min="8" max="8" width="14.734375" style="18" customWidth="1"/>
    <col min="9" max="9" width="15.578125" style="18" customWidth="1"/>
    <col min="10" max="13" width="14.26171875" style="18" customWidth="1"/>
    <col min="14" max="15" width="14.26171875" style="137" customWidth="1"/>
    <col min="16" max="16" width="9.1015625" style="137" customWidth="1"/>
    <col min="17" max="17" width="18.41796875" style="137" bestFit="1" customWidth="1"/>
    <col min="18" max="22" width="13.578125" style="137" customWidth="1"/>
    <col min="23" max="24" width="10.734375" style="137" customWidth="1"/>
    <col min="25" max="25" width="16.41796875" style="137" bestFit="1" customWidth="1"/>
    <col min="26" max="26" width="17.41796875" style="137" customWidth="1"/>
    <col min="27" max="27" width="17.1015625" style="137" customWidth="1"/>
    <col min="28" max="29" width="12.83984375" style="137" bestFit="1" customWidth="1"/>
    <col min="30" max="30" width="11.26171875" style="137" bestFit="1" customWidth="1"/>
    <col min="31" max="31" width="13.41796875" style="137" bestFit="1" customWidth="1"/>
    <col min="32" max="32" width="11.26171875" style="137" bestFit="1" customWidth="1"/>
    <col min="33" max="33" width="12" style="137" customWidth="1"/>
    <col min="34" max="34" width="9.1015625" style="137"/>
    <col min="35" max="35" width="13.26171875" style="137" customWidth="1"/>
    <col min="36" max="16384" width="9.1015625" style="137"/>
  </cols>
  <sheetData>
    <row r="1" spans="1:24" ht="12.6" x14ac:dyDescent="0.45">
      <c r="A1" s="134" t="s">
        <v>366</v>
      </c>
    </row>
    <row r="2" spans="1:24" x14ac:dyDescent="0.4">
      <c r="A2" s="137" t="s">
        <v>367</v>
      </c>
      <c r="B2" s="138">
        <v>2022</v>
      </c>
    </row>
    <row r="3" spans="1:24" x14ac:dyDescent="0.4">
      <c r="A3" s="137" t="s">
        <v>368</v>
      </c>
      <c r="B3" s="138">
        <v>2021</v>
      </c>
    </row>
    <row r="4" spans="1:24" x14ac:dyDescent="0.4">
      <c r="A4" s="137" t="s">
        <v>369</v>
      </c>
      <c r="B4" s="138">
        <v>2020</v>
      </c>
    </row>
    <row r="6" spans="1:24" x14ac:dyDescent="0.4">
      <c r="A6" s="10" t="s">
        <v>370</v>
      </c>
      <c r="B6" s="11"/>
      <c r="C6" s="12"/>
      <c r="D6" s="13"/>
      <c r="E6" s="14"/>
      <c r="F6" s="14"/>
      <c r="G6" s="14"/>
      <c r="H6" s="14"/>
      <c r="I6" s="14"/>
      <c r="J6" s="14"/>
      <c r="K6" s="14"/>
      <c r="L6" s="14"/>
      <c r="M6" s="14"/>
      <c r="N6" s="139"/>
      <c r="O6" s="13"/>
      <c r="P6" s="13"/>
      <c r="Q6" s="13"/>
      <c r="R6" s="13"/>
      <c r="S6" s="13"/>
      <c r="T6" s="13"/>
      <c r="U6" s="13"/>
      <c r="V6" s="13"/>
      <c r="W6" s="13"/>
      <c r="X6" s="13"/>
    </row>
    <row r="7" spans="1:24" x14ac:dyDescent="0.4">
      <c r="A7" s="15" t="s">
        <v>371</v>
      </c>
      <c r="B7" s="11"/>
      <c r="C7" s="12"/>
      <c r="D7" s="13"/>
      <c r="E7" s="14"/>
      <c r="F7" s="14"/>
      <c r="G7" s="14"/>
      <c r="H7" s="14"/>
      <c r="I7" s="14"/>
      <c r="J7" s="14"/>
      <c r="K7" s="14"/>
      <c r="L7" s="14"/>
      <c r="M7" s="14"/>
      <c r="N7" s="139"/>
      <c r="O7" s="13"/>
      <c r="P7" s="13"/>
      <c r="Q7" s="13"/>
      <c r="R7" s="13"/>
      <c r="S7" s="13"/>
      <c r="T7" s="13"/>
      <c r="U7" s="13"/>
      <c r="V7" s="13"/>
      <c r="W7" s="13"/>
      <c r="X7" s="13"/>
    </row>
    <row r="8" spans="1:24" ht="36.9" x14ac:dyDescent="0.4">
      <c r="A8" s="10" t="s">
        <v>372</v>
      </c>
      <c r="B8" s="11"/>
      <c r="C8" s="12" t="s">
        <v>127</v>
      </c>
      <c r="D8" s="12" t="s">
        <v>96</v>
      </c>
      <c r="E8" s="16" t="s">
        <v>373</v>
      </c>
      <c r="F8" s="16" t="s">
        <v>374</v>
      </c>
      <c r="G8" s="17" t="s">
        <v>101</v>
      </c>
      <c r="I8" s="19"/>
      <c r="J8" s="19"/>
      <c r="K8" s="19"/>
      <c r="L8" s="19"/>
      <c r="M8" s="19"/>
      <c r="N8" s="13"/>
      <c r="O8" s="13"/>
      <c r="P8" s="13"/>
      <c r="Q8" s="20"/>
      <c r="R8" s="21" t="s">
        <v>102</v>
      </c>
      <c r="S8" s="21" t="s">
        <v>103</v>
      </c>
      <c r="T8" s="21" t="s">
        <v>104</v>
      </c>
      <c r="U8" s="21" t="s">
        <v>105</v>
      </c>
      <c r="V8" s="21" t="s">
        <v>106</v>
      </c>
      <c r="W8" s="22"/>
      <c r="X8" s="22"/>
    </row>
    <row r="9" spans="1:24" ht="14.4" x14ac:dyDescent="0.55000000000000004">
      <c r="A9" s="13"/>
      <c r="B9" s="11"/>
      <c r="C9" s="140">
        <v>2022</v>
      </c>
      <c r="D9" s="23">
        <v>4201662</v>
      </c>
      <c r="E9" s="141">
        <v>4031936</v>
      </c>
      <c r="F9" s="142">
        <v>169726</v>
      </c>
      <c r="G9" s="143">
        <v>0</v>
      </c>
      <c r="I9" s="19"/>
      <c r="J9" s="19"/>
      <c r="K9" s="19"/>
      <c r="L9" s="19"/>
      <c r="M9" s="19"/>
      <c r="N9" s="13"/>
      <c r="O9" s="13"/>
      <c r="P9" s="13"/>
      <c r="Q9" s="13" t="str">
        <f>$A8&amp;C9&amp;"REV"</f>
        <v>ATO2022REV</v>
      </c>
      <c r="R9" s="25">
        <f>SUM(E9:F9)/D9</f>
        <v>1</v>
      </c>
      <c r="S9" s="25">
        <f>0/SUM(E9:F9)</f>
        <v>0</v>
      </c>
      <c r="T9" s="25">
        <f>E9/SUM(E9:F9)</f>
        <v>0.95960503248476436</v>
      </c>
      <c r="U9" s="25">
        <f>IF(OR(ISBLANK($R9),ISBLANK(S9)),"NA",$R9*S9)</f>
        <v>0</v>
      </c>
      <c r="V9" s="25">
        <f>IF(OR(ISBLANK($R9),ISBLANK(T9)),"NA",$R9*T9)</f>
        <v>0.95960503248476436</v>
      </c>
      <c r="W9" s="25"/>
      <c r="X9" s="25"/>
    </row>
    <row r="10" spans="1:24" x14ac:dyDescent="0.4">
      <c r="A10" s="13"/>
      <c r="B10" s="11" t="s">
        <v>107</v>
      </c>
      <c r="C10" s="140">
        <v>2021</v>
      </c>
      <c r="D10" s="23">
        <f>SUM(E10:G10)</f>
        <v>3407490</v>
      </c>
      <c r="E10" s="141">
        <v>3238753</v>
      </c>
      <c r="F10" s="142">
        <v>168737</v>
      </c>
      <c r="G10" s="24">
        <v>0</v>
      </c>
      <c r="I10" s="24"/>
      <c r="J10" s="19"/>
      <c r="K10" s="19"/>
      <c r="L10" s="19"/>
      <c r="M10" s="19"/>
      <c r="N10" s="13"/>
      <c r="O10" s="13"/>
      <c r="P10" s="13"/>
      <c r="Q10" s="13" t="str">
        <f t="shared" ref="Q10:Q11" si="0">$A$8&amp;C10&amp;"REV"</f>
        <v>ATO2021REV</v>
      </c>
      <c r="R10" s="25">
        <f>SUM(E10:F10)/D10</f>
        <v>1</v>
      </c>
      <c r="S10" s="25">
        <f>0/SUM(E10:F10)</f>
        <v>0</v>
      </c>
      <c r="T10" s="25">
        <f>E10/SUM(E10:F10)</f>
        <v>0.95048055900384154</v>
      </c>
      <c r="U10" s="25">
        <f>IF(OR(ISBLANK($R10),ISBLANK(S10)),"NA",$R10*S10)</f>
        <v>0</v>
      </c>
      <c r="V10" s="25">
        <f>IF(OR(ISBLANK($R10),ISBLANK(T10)),"NA",$R10*T10)</f>
        <v>0.95048055900384154</v>
      </c>
      <c r="W10" s="25"/>
      <c r="X10" s="25"/>
    </row>
    <row r="11" spans="1:24" x14ac:dyDescent="0.4">
      <c r="A11" s="13"/>
      <c r="B11" s="11"/>
      <c r="C11" s="140">
        <v>2020</v>
      </c>
      <c r="D11" s="23">
        <f>SUM(E11:G11)</f>
        <v>2821137</v>
      </c>
      <c r="E11" s="142">
        <v>2624251</v>
      </c>
      <c r="F11" s="142">
        <v>196886</v>
      </c>
      <c r="G11" s="24">
        <v>0</v>
      </c>
      <c r="I11" s="19"/>
      <c r="J11" s="19"/>
      <c r="K11" s="19"/>
      <c r="L11" s="19"/>
      <c r="M11" s="19"/>
      <c r="N11" s="13"/>
      <c r="O11" s="13"/>
      <c r="P11" s="13"/>
      <c r="Q11" s="13" t="str">
        <f t="shared" si="0"/>
        <v>ATO2020REV</v>
      </c>
      <c r="R11" s="25">
        <f>SUM(E11:F11)/D11</f>
        <v>1</v>
      </c>
      <c r="S11" s="25">
        <f>0/SUM(E11:F11)</f>
        <v>0</v>
      </c>
      <c r="T11" s="25">
        <f>E11/SUM(E11:F11)</f>
        <v>0.9302104080730571</v>
      </c>
      <c r="U11" s="25">
        <f t="shared" ref="U11:V11" si="1">IF(OR(ISBLANK($R11),ISBLANK(S11)),"NA",$R11*S11)</f>
        <v>0</v>
      </c>
      <c r="V11" s="25">
        <f t="shared" si="1"/>
        <v>0.9302104080730571</v>
      </c>
      <c r="W11" s="25"/>
      <c r="X11" s="25"/>
    </row>
    <row r="12" spans="1:24" x14ac:dyDescent="0.4">
      <c r="A12" s="13"/>
      <c r="B12" s="11"/>
      <c r="C12" s="140"/>
      <c r="D12" s="12"/>
      <c r="E12" s="29"/>
      <c r="F12" s="24"/>
      <c r="G12" s="24"/>
      <c r="I12" s="19"/>
      <c r="J12" s="19"/>
      <c r="K12" s="19"/>
      <c r="L12" s="19"/>
      <c r="M12" s="19"/>
      <c r="N12" s="13"/>
      <c r="O12" s="13"/>
      <c r="P12" s="13"/>
      <c r="Q12" s="13"/>
      <c r="R12" s="13"/>
      <c r="S12" s="13"/>
      <c r="T12" s="13"/>
      <c r="U12" s="13"/>
      <c r="V12" s="13"/>
      <c r="W12" s="13"/>
      <c r="X12" s="13"/>
    </row>
    <row r="13" spans="1:24" x14ac:dyDescent="0.4">
      <c r="A13" s="13"/>
      <c r="B13" s="11"/>
      <c r="C13" s="140">
        <v>2022</v>
      </c>
      <c r="D13" s="23">
        <v>920982</v>
      </c>
      <c r="E13" s="144">
        <v>604545</v>
      </c>
      <c r="F13" s="144">
        <v>316437</v>
      </c>
      <c r="G13" s="24">
        <v>0</v>
      </c>
      <c r="I13" s="19"/>
      <c r="J13" s="19"/>
      <c r="K13" s="19"/>
      <c r="L13" s="19"/>
      <c r="M13" s="19"/>
      <c r="N13" s="13"/>
      <c r="O13" s="13"/>
      <c r="P13" s="13"/>
      <c r="Q13" s="13" t="str">
        <f>$A$8&amp;C13&amp;"INC"</f>
        <v>ATO2022INC</v>
      </c>
      <c r="R13" s="25">
        <f>SUM(E13:F13)/D13</f>
        <v>1</v>
      </c>
      <c r="S13" s="25">
        <f>0/SUM(E13:F13)</f>
        <v>0</v>
      </c>
      <c r="T13" s="25">
        <f>E13/SUM(E13:F13)</f>
        <v>0.65641348039375358</v>
      </c>
      <c r="U13" s="25">
        <f t="shared" ref="U13:V15" si="2">IF(OR(ISBLANK($R13),ISBLANK(S13)),"NA",$R13*S13)</f>
        <v>0</v>
      </c>
      <c r="V13" s="25">
        <f t="shared" si="2"/>
        <v>0.65641348039375358</v>
      </c>
      <c r="W13" s="25"/>
      <c r="X13" s="25"/>
    </row>
    <row r="14" spans="1:24" x14ac:dyDescent="0.4">
      <c r="A14" s="13"/>
      <c r="B14" s="11" t="s">
        <v>109</v>
      </c>
      <c r="C14" s="140">
        <v>2021</v>
      </c>
      <c r="D14" s="23">
        <f>SUM(E14:G14)</f>
        <v>904998</v>
      </c>
      <c r="E14" s="144">
        <v>618514</v>
      </c>
      <c r="F14" s="144">
        <v>286484</v>
      </c>
      <c r="G14" s="24">
        <v>0</v>
      </c>
      <c r="I14" s="19"/>
      <c r="J14" s="19"/>
      <c r="K14" s="19"/>
      <c r="L14" s="19"/>
      <c r="M14" s="19"/>
      <c r="N14" s="13"/>
      <c r="O14" s="13"/>
      <c r="P14" s="13"/>
      <c r="Q14" s="13" t="str">
        <f>$A$8&amp;C14&amp;"INC"</f>
        <v>ATO2021INC</v>
      </c>
      <c r="R14" s="25">
        <f>SUM(E14:F14)/D14</f>
        <v>1</v>
      </c>
      <c r="S14" s="25">
        <f>0/SUM(E14:F14)</f>
        <v>0</v>
      </c>
      <c r="T14" s="25">
        <f>E14/SUM(E14:F14)</f>
        <v>0.68344239434783283</v>
      </c>
      <c r="U14" s="25">
        <f t="shared" si="2"/>
        <v>0</v>
      </c>
      <c r="V14" s="25">
        <f t="shared" si="2"/>
        <v>0.68344239434783283</v>
      </c>
      <c r="W14" s="25"/>
      <c r="X14" s="25"/>
    </row>
    <row r="15" spans="1:24" ht="14.4" x14ac:dyDescent="0.55000000000000004">
      <c r="A15" s="13"/>
      <c r="B15" s="11"/>
      <c r="C15" s="145">
        <v>2020</v>
      </c>
      <c r="D15" s="146">
        <f>SUM(E15:G15)</f>
        <v>824099</v>
      </c>
      <c r="E15" s="143">
        <v>528243</v>
      </c>
      <c r="F15" s="143">
        <v>295856</v>
      </c>
      <c r="G15" s="143">
        <v>0</v>
      </c>
      <c r="H15" s="147"/>
      <c r="I15" s="148"/>
      <c r="J15" s="148"/>
      <c r="K15" s="148"/>
      <c r="L15" s="148"/>
      <c r="M15" s="148"/>
      <c r="N15" s="149"/>
      <c r="O15" s="149"/>
      <c r="P15" s="149"/>
      <c r="Q15" s="149" t="str">
        <f>$A$8&amp;C15&amp;"INC"</f>
        <v>ATO2020INC</v>
      </c>
      <c r="R15" s="128">
        <f>SUM(E15:F15)/D15</f>
        <v>1</v>
      </c>
      <c r="S15" s="128">
        <f>0/SUM(E15:F15)</f>
        <v>0</v>
      </c>
      <c r="T15" s="128">
        <f>E15/SUM(E15:F15)</f>
        <v>0.6409945892423119</v>
      </c>
      <c r="U15" s="128">
        <f t="shared" si="2"/>
        <v>0</v>
      </c>
      <c r="V15" s="128">
        <f t="shared" si="2"/>
        <v>0.6409945892423119</v>
      </c>
      <c r="W15" s="25"/>
      <c r="X15" s="25"/>
    </row>
    <row r="16" spans="1:24" x14ac:dyDescent="0.4">
      <c r="A16" s="13"/>
      <c r="B16" s="11"/>
      <c r="C16" s="140"/>
      <c r="D16" s="13"/>
      <c r="E16" s="26"/>
      <c r="F16" s="26"/>
      <c r="G16" s="26"/>
      <c r="I16" s="19"/>
      <c r="J16" s="19"/>
      <c r="K16" s="19"/>
      <c r="L16" s="19"/>
      <c r="M16" s="19"/>
      <c r="N16" s="13"/>
      <c r="O16" s="13"/>
      <c r="P16" s="13"/>
      <c r="Q16" s="13"/>
      <c r="R16" s="13"/>
      <c r="S16" s="13"/>
      <c r="T16" s="13"/>
      <c r="U16" s="13"/>
      <c r="V16" s="13"/>
      <c r="W16" s="13"/>
      <c r="X16" s="13"/>
    </row>
    <row r="17" spans="1:30" x14ac:dyDescent="0.4">
      <c r="A17" s="13"/>
      <c r="B17" s="11"/>
      <c r="C17" s="140">
        <v>2022</v>
      </c>
      <c r="D17" s="23">
        <v>22192989</v>
      </c>
      <c r="E17" s="141">
        <v>21424586</v>
      </c>
      <c r="F17" s="141">
        <v>4797206</v>
      </c>
      <c r="G17" s="141">
        <v>-4028803</v>
      </c>
      <c r="I17" s="19"/>
      <c r="J17" s="19"/>
      <c r="K17" s="19"/>
      <c r="L17" s="19"/>
      <c r="M17" s="19"/>
      <c r="N17" s="13"/>
      <c r="O17" s="13"/>
      <c r="P17" s="13"/>
      <c r="Q17" s="13" t="str">
        <f>$A$8&amp;C17&amp;"ASSETS"</f>
        <v>ATO2022ASSETS</v>
      </c>
      <c r="R17" s="28">
        <f>IF(SUM(E17:F17)/D17&gt;100%,100%, SUM(E17:F17)/D17)</f>
        <v>1</v>
      </c>
      <c r="S17" s="25">
        <f t="shared" ref="S17:S19" si="3">0/SUM(E17:F17)</f>
        <v>0</v>
      </c>
      <c r="T17" s="25">
        <f>E17/SUM(E17:F17)</f>
        <v>0.81705270181381962</v>
      </c>
      <c r="U17" s="25">
        <f>IF(OR(ISBLANK($R17),ISBLANK(S17)),"NA",$R17*S17)</f>
        <v>0</v>
      </c>
      <c r="V17" s="25">
        <f>IF(OR(ISBLANK($R17),ISBLANK(T17)),"NA",$R17*T17)</f>
        <v>0.81705270181381962</v>
      </c>
      <c r="W17" s="25"/>
      <c r="X17" s="25"/>
    </row>
    <row r="18" spans="1:30" ht="14.4" x14ac:dyDescent="0.55000000000000004">
      <c r="A18" s="13"/>
      <c r="B18" s="11" t="s">
        <v>110</v>
      </c>
      <c r="C18" s="140">
        <v>2021</v>
      </c>
      <c r="D18" s="23">
        <f>SUM(E18:G18)</f>
        <v>19608662</v>
      </c>
      <c r="E18" s="148">
        <v>18847266</v>
      </c>
      <c r="F18" s="148">
        <v>4076844</v>
      </c>
      <c r="G18" s="148">
        <v>-3315448</v>
      </c>
      <c r="I18" s="19"/>
      <c r="J18" s="19"/>
      <c r="K18" s="19"/>
      <c r="L18" s="19"/>
      <c r="M18" s="19"/>
      <c r="N18" s="13"/>
      <c r="O18" s="13"/>
      <c r="P18" s="13"/>
      <c r="Q18" s="13" t="str">
        <f t="shared" ref="Q18:Q19" si="4">$A$8&amp;C18&amp;"ASSETS"</f>
        <v>ATO2021ASSETS</v>
      </c>
      <c r="R18" s="28">
        <f t="shared" ref="R18:R19" si="5">IF(SUM(E18:F18)/D18&gt;100%,100%, SUM(E18:F18)/D18)</f>
        <v>1</v>
      </c>
      <c r="S18" s="25">
        <f t="shared" si="3"/>
        <v>0</v>
      </c>
      <c r="T18" s="25">
        <f>E18/SUM(E18:F18)</f>
        <v>0.82215911544657572</v>
      </c>
      <c r="U18" s="25">
        <f>IF(OR(ISBLANK($R18),ISBLANK(S18)),"NA",$R18*S18)</f>
        <v>0</v>
      </c>
      <c r="V18" s="25">
        <f>IF(OR(ISBLANK($R18),ISBLANK(T18)),"NA",$R18*T18)</f>
        <v>0.82215911544657572</v>
      </c>
      <c r="W18" s="25"/>
      <c r="X18" s="25"/>
    </row>
    <row r="19" spans="1:30" ht="14.4" x14ac:dyDescent="0.55000000000000004">
      <c r="A19" s="13"/>
      <c r="B19" s="11"/>
      <c r="C19" s="140">
        <v>2020</v>
      </c>
      <c r="D19" s="23">
        <f>SUM(E19:G19)</f>
        <v>15359032</v>
      </c>
      <c r="E19" s="150">
        <v>14578176</v>
      </c>
      <c r="F19" s="150">
        <v>3647907</v>
      </c>
      <c r="G19" s="150">
        <v>-2867051</v>
      </c>
      <c r="I19" s="19"/>
      <c r="J19" s="19"/>
      <c r="K19" s="19"/>
      <c r="L19" s="19"/>
      <c r="M19" s="19"/>
      <c r="N19" s="13"/>
      <c r="O19" s="13"/>
      <c r="P19" s="13"/>
      <c r="Q19" s="13" t="str">
        <f t="shared" si="4"/>
        <v>ATO2020ASSETS</v>
      </c>
      <c r="R19" s="28">
        <f t="shared" si="5"/>
        <v>1</v>
      </c>
      <c r="S19" s="25">
        <f t="shared" si="3"/>
        <v>0</v>
      </c>
      <c r="T19" s="25">
        <f>E19/SUM(E19:F19)</f>
        <v>0.79985238737253639</v>
      </c>
      <c r="U19" s="25">
        <f t="shared" ref="U19:V19" si="6">IF(OR(ISBLANK($R19),ISBLANK(S19)),"NA",$R19*S19)</f>
        <v>0</v>
      </c>
      <c r="V19" s="25">
        <f t="shared" si="6"/>
        <v>0.79985238737253639</v>
      </c>
      <c r="W19" s="25"/>
      <c r="X19" s="25"/>
    </row>
    <row r="20" spans="1:30" x14ac:dyDescent="0.4">
      <c r="B20" s="137"/>
    </row>
    <row r="21" spans="1:30" x14ac:dyDescent="0.4">
      <c r="B21" s="137"/>
    </row>
    <row r="22" spans="1:30" x14ac:dyDescent="0.4">
      <c r="B22" s="137"/>
    </row>
    <row r="23" spans="1:30" x14ac:dyDescent="0.4">
      <c r="A23" s="10" t="s">
        <v>375</v>
      </c>
      <c r="B23" s="13"/>
      <c r="C23" s="12"/>
      <c r="D23" s="13"/>
      <c r="E23" s="14"/>
      <c r="F23" s="14"/>
      <c r="G23" s="14"/>
      <c r="H23" s="14"/>
      <c r="I23" s="14"/>
      <c r="J23" s="14"/>
      <c r="K23" s="14"/>
      <c r="L23" s="14"/>
      <c r="M23" s="14"/>
      <c r="N23" s="13"/>
      <c r="O23" s="13"/>
      <c r="P23" s="13"/>
      <c r="Q23" s="13"/>
      <c r="R23" s="13"/>
      <c r="S23" s="13"/>
      <c r="T23" s="13"/>
      <c r="U23" s="13"/>
      <c r="V23" s="13"/>
      <c r="W23" s="13"/>
      <c r="X23" s="13"/>
      <c r="Y23" s="13"/>
      <c r="Z23" s="13"/>
      <c r="AA23" s="13"/>
      <c r="AB23" s="13"/>
      <c r="AC23" s="13"/>
      <c r="AD23" s="13"/>
    </row>
    <row r="24" spans="1:30" ht="12.75" customHeight="1" x14ac:dyDescent="0.4">
      <c r="A24" s="314" t="s">
        <v>376</v>
      </c>
      <c r="B24" s="314"/>
      <c r="C24" s="314"/>
      <c r="D24" s="314"/>
      <c r="E24" s="315" t="s">
        <v>377</v>
      </c>
      <c r="F24" s="315"/>
      <c r="G24" s="315"/>
      <c r="H24" s="14"/>
      <c r="I24" s="14"/>
      <c r="J24" s="14"/>
      <c r="K24" s="14"/>
      <c r="L24" s="14"/>
      <c r="M24" s="14"/>
      <c r="N24" s="13"/>
      <c r="O24" s="13"/>
      <c r="P24" s="13"/>
      <c r="Q24" s="13"/>
      <c r="R24" s="13"/>
      <c r="S24" s="13"/>
      <c r="T24" s="13"/>
      <c r="U24" s="13"/>
      <c r="V24" s="13"/>
      <c r="W24" s="13"/>
      <c r="X24" s="13"/>
      <c r="Y24" s="316" t="s">
        <v>378</v>
      </c>
      <c r="Z24" s="316"/>
      <c r="AA24" s="316"/>
      <c r="AB24" s="316"/>
      <c r="AC24" s="316"/>
      <c r="AD24" s="316"/>
    </row>
    <row r="25" spans="1:30" ht="36.9" x14ac:dyDescent="0.4">
      <c r="A25" s="10" t="s">
        <v>379</v>
      </c>
      <c r="B25" s="11"/>
      <c r="C25" s="22" t="s">
        <v>127</v>
      </c>
      <c r="D25" s="12" t="s">
        <v>96</v>
      </c>
      <c r="E25" s="16" t="s">
        <v>175</v>
      </c>
      <c r="F25" s="16" t="s">
        <v>174</v>
      </c>
      <c r="G25" s="16" t="s">
        <v>380</v>
      </c>
      <c r="H25" s="16" t="s">
        <v>381</v>
      </c>
      <c r="I25" s="16" t="s">
        <v>382</v>
      </c>
      <c r="J25" s="14"/>
      <c r="K25" s="14"/>
      <c r="L25" s="14"/>
      <c r="M25" s="14"/>
      <c r="N25" s="13"/>
      <c r="O25" s="13"/>
      <c r="P25" s="13"/>
      <c r="Q25" s="20"/>
      <c r="R25" s="21" t="s">
        <v>102</v>
      </c>
      <c r="S25" s="21" t="s">
        <v>103</v>
      </c>
      <c r="T25" s="21" t="s">
        <v>104</v>
      </c>
      <c r="U25" s="21" t="s">
        <v>105</v>
      </c>
      <c r="V25" s="21" t="s">
        <v>106</v>
      </c>
      <c r="W25" s="22"/>
      <c r="X25" s="22"/>
      <c r="Y25" s="16" t="s">
        <v>383</v>
      </c>
      <c r="Z25" s="22" t="s">
        <v>384</v>
      </c>
      <c r="AA25" s="22" t="s">
        <v>385</v>
      </c>
      <c r="AB25" s="22" t="s">
        <v>386</v>
      </c>
      <c r="AC25" s="22" t="s">
        <v>387</v>
      </c>
      <c r="AD25" s="22" t="s">
        <v>388</v>
      </c>
    </row>
    <row r="26" spans="1:30" x14ac:dyDescent="0.4">
      <c r="A26" s="13"/>
      <c r="B26" s="11"/>
      <c r="C26" s="140">
        <v>2022</v>
      </c>
      <c r="D26" s="23">
        <f>SUM(E26:I26)</f>
        <v>680704</v>
      </c>
      <c r="E26" s="142">
        <f>$Y26*((Z26+AA26)/SUM($Z26:$AD26))</f>
        <v>293329.04805059591</v>
      </c>
      <c r="F26" s="142">
        <f>$Y26*((AB26)/SUM($Z26:$AD26))</f>
        <v>81215.637339625697</v>
      </c>
      <c r="G26" s="142">
        <f>$Y26*((AC26+AD26)/SUM($Z26:$AD26))</f>
        <v>48349.314609778397</v>
      </c>
      <c r="H26" s="30">
        <v>257810</v>
      </c>
      <c r="I26" s="38">
        <v>0</v>
      </c>
      <c r="J26" s="14"/>
      <c r="K26" s="14"/>
      <c r="L26" s="14"/>
      <c r="M26" s="14"/>
      <c r="N26" s="13"/>
      <c r="O26" s="13"/>
      <c r="P26" s="13"/>
      <c r="Q26" s="13" t="str">
        <f>$A$25&amp;C26&amp;"REV"</f>
        <v>CPK2022REV</v>
      </c>
      <c r="R26" s="25">
        <f>SUM(E26:G26)/D26</f>
        <v>0.62125975460699512</v>
      </c>
      <c r="S26" s="25">
        <f>F26/(E26+F26+G26)</f>
        <v>0.19204726796697447</v>
      </c>
      <c r="T26" s="25">
        <f>(E26)/(E26+F26+G26)</f>
        <v>0.69362310188982557</v>
      </c>
      <c r="U26" s="25">
        <f>IF(OR(ISBLANK($R26),ISBLANK(S26)),"NA",$R26*S26)</f>
        <v>0.11931123857010639</v>
      </c>
      <c r="V26" s="25">
        <f>IF(OR(ISBLANK($R26),ISBLANK(T26)),"NA",$R26*T26)</f>
        <v>0.43092011806981578</v>
      </c>
      <c r="W26" s="25"/>
      <c r="X26" s="12">
        <v>2022</v>
      </c>
      <c r="Y26" s="153">
        <v>422894</v>
      </c>
      <c r="Z26" s="153">
        <v>139259</v>
      </c>
      <c r="AA26" s="153">
        <v>155870</v>
      </c>
      <c r="AB26" s="153">
        <v>81714</v>
      </c>
      <c r="AC26" s="153">
        <f>78624-32458</f>
        <v>46166</v>
      </c>
      <c r="AD26" s="137">
        <f>27269-23669-1120</f>
        <v>2480</v>
      </c>
    </row>
    <row r="27" spans="1:30" ht="14.4" x14ac:dyDescent="0.55000000000000004">
      <c r="A27" s="13"/>
      <c r="B27" s="11" t="s">
        <v>107</v>
      </c>
      <c r="C27" s="140">
        <v>2021</v>
      </c>
      <c r="D27" s="23">
        <f>SUM(E27:I27)</f>
        <v>569968</v>
      </c>
      <c r="E27" s="142">
        <f>$Y27*((Z27+AA27)/SUM($Z27:$AD27))</f>
        <v>254622.45455231826</v>
      </c>
      <c r="F27" s="142">
        <f>$Y27*((AB27)/SUM($Z27:$AD27))</f>
        <v>77847.039450561177</v>
      </c>
      <c r="G27" s="142">
        <f>$Y27*((AC27+AD27)/SUM($Z27:$AD27))</f>
        <v>49409.505997120548</v>
      </c>
      <c r="H27" s="154">
        <v>188089</v>
      </c>
      <c r="I27" s="38">
        <v>0</v>
      </c>
      <c r="J27" s="14"/>
      <c r="K27" s="14"/>
      <c r="L27" s="14"/>
      <c r="M27" s="14"/>
      <c r="N27" s="13"/>
      <c r="O27" s="13"/>
      <c r="P27" s="13"/>
      <c r="Q27" s="13" t="str">
        <f t="shared" ref="Q27:Q28" si="7">$A$25&amp;C27&amp;"REV"</f>
        <v>CPK2021REV</v>
      </c>
      <c r="R27" s="25">
        <f t="shared" ref="R27:R28" si="8">SUM(E27:G27)/D27</f>
        <v>0.67000077197316343</v>
      </c>
      <c r="S27" s="25">
        <f t="shared" ref="S27" si="9">F27/(E27+F27+G27)</f>
        <v>0.20385263251071983</v>
      </c>
      <c r="T27" s="25">
        <f t="shared" ref="T27:T28" si="10">(E27)/(E27+F27+G27)</f>
        <v>0.66676212766954523</v>
      </c>
      <c r="U27" s="25">
        <f t="shared" ref="U27:V28" si="11">IF(OR(ISBLANK($R27),ISBLANK(S27)),"NA",$R27*S27)</f>
        <v>0.13658142115094388</v>
      </c>
      <c r="V27" s="25">
        <f t="shared" si="11"/>
        <v>0.44673114026106425</v>
      </c>
      <c r="W27" s="25"/>
      <c r="X27" s="12">
        <v>2021</v>
      </c>
      <c r="Y27" s="153">
        <v>381879</v>
      </c>
      <c r="Z27" s="153">
        <v>121495</v>
      </c>
      <c r="AA27" s="153">
        <v>134609</v>
      </c>
      <c r="AB27" s="153">
        <v>78300</v>
      </c>
      <c r="AC27" s="153">
        <f>76911-29214</f>
        <v>47697</v>
      </c>
      <c r="AD27" s="137">
        <f>26630-23510-1120</f>
        <v>2000</v>
      </c>
    </row>
    <row r="28" spans="1:30" x14ac:dyDescent="0.4">
      <c r="A28" s="13"/>
      <c r="B28" s="11"/>
      <c r="C28" s="140">
        <v>2020</v>
      </c>
      <c r="D28" s="23">
        <f>SUM(E28:I28)</f>
        <v>488197.99999999994</v>
      </c>
      <c r="E28" s="142">
        <f>$Y28*((Z28+AA28)/SUM($Z28:$AD28))</f>
        <v>225046.80121154286</v>
      </c>
      <c r="F28" s="142">
        <f>$Y28*((AB28)/SUM($Z28:$AD28))</f>
        <v>76587.953693842603</v>
      </c>
      <c r="G28" s="142">
        <f>$Y28*((AC28+AD28)/SUM($Z28:$AD28))</f>
        <v>49218.245094614518</v>
      </c>
      <c r="H28" s="38">
        <v>137345</v>
      </c>
      <c r="I28" s="38">
        <v>0</v>
      </c>
      <c r="J28" s="14"/>
      <c r="K28" s="14"/>
      <c r="L28" s="14"/>
      <c r="M28" s="14"/>
      <c r="N28" s="13"/>
      <c r="O28" s="13"/>
      <c r="P28" s="13"/>
      <c r="Q28" s="13" t="str">
        <f t="shared" si="7"/>
        <v>CPK2020REV</v>
      </c>
      <c r="R28" s="25">
        <f t="shared" si="8"/>
        <v>0.71866947427068517</v>
      </c>
      <c r="S28" s="25">
        <f>F28/(E28+F28+G28)</f>
        <v>0.21829071917253839</v>
      </c>
      <c r="T28" s="25">
        <f t="shared" si="10"/>
        <v>0.64142760988659897</v>
      </c>
      <c r="U28" s="25">
        <f t="shared" si="11"/>
        <v>0.15687887638589795</v>
      </c>
      <c r="V28" s="25">
        <f t="shared" si="11"/>
        <v>0.46097444317990421</v>
      </c>
      <c r="W28" s="25"/>
      <c r="X28" s="12">
        <v>2020</v>
      </c>
      <c r="Y28" s="142">
        <v>350853</v>
      </c>
      <c r="Z28" s="30">
        <v>104856</v>
      </c>
      <c r="AA28" s="30">
        <v>120999</v>
      </c>
      <c r="AB28" s="30">
        <v>76863</v>
      </c>
      <c r="AC28" s="30">
        <v>48262</v>
      </c>
      <c r="AD28" s="30">
        <v>1133</v>
      </c>
    </row>
    <row r="29" spans="1:30" x14ac:dyDescent="0.4">
      <c r="A29" s="13"/>
      <c r="B29" s="11"/>
      <c r="C29" s="12"/>
      <c r="D29" s="12"/>
      <c r="E29" s="38"/>
      <c r="F29" s="38"/>
      <c r="G29" s="38"/>
      <c r="H29" s="38"/>
      <c r="I29" s="38"/>
      <c r="J29" s="14"/>
      <c r="K29" s="14"/>
      <c r="L29" s="14"/>
      <c r="M29" s="14"/>
      <c r="N29" s="13"/>
      <c r="O29" s="13"/>
      <c r="P29" s="13"/>
      <c r="Q29" s="13"/>
      <c r="R29" s="13"/>
      <c r="S29" s="31"/>
      <c r="T29" s="13"/>
      <c r="U29" s="13"/>
      <c r="V29" s="13"/>
      <c r="W29" s="13"/>
      <c r="X29" s="13"/>
      <c r="Y29" s="14" t="s">
        <v>109</v>
      </c>
      <c r="Z29" s="315" t="s">
        <v>389</v>
      </c>
      <c r="AA29" s="315"/>
      <c r="AB29" s="315"/>
      <c r="AC29" s="315"/>
      <c r="AD29" s="315"/>
    </row>
    <row r="30" spans="1:30" ht="12.6" x14ac:dyDescent="0.45">
      <c r="A30" s="13"/>
      <c r="B30" s="11"/>
      <c r="C30" s="140">
        <v>2022</v>
      </c>
      <c r="D30" s="23">
        <f>SUM(E30:I30)</f>
        <v>142933</v>
      </c>
      <c r="E30" s="38">
        <f>$Y30*((Z30+AA30)/SUM($Z30:$AD30))</f>
        <v>53143.48929448425</v>
      </c>
      <c r="F30" s="38">
        <f>$Y30*((AB30)/SUM($Z30:$AD30))</f>
        <v>6542.7497881873142</v>
      </c>
      <c r="G30" s="38">
        <f>$Y30*((AC30+AD30)/SUM($Z30:$AD30))</f>
        <v>55630.760917328436</v>
      </c>
      <c r="H30" s="30">
        <v>27350</v>
      </c>
      <c r="I30" s="30">
        <v>266</v>
      </c>
      <c r="J30" s="14"/>
      <c r="K30" s="14"/>
      <c r="L30" s="14"/>
      <c r="M30" s="14"/>
      <c r="N30" s="13"/>
      <c r="O30" s="13"/>
      <c r="P30" s="13"/>
      <c r="Q30" s="13" t="str">
        <f>$A$25&amp;C30&amp;"INC"</f>
        <v>CPK2022INC</v>
      </c>
      <c r="R30" s="25">
        <f>SUM(E30:G30)/D30</f>
        <v>0.80679059419448274</v>
      </c>
      <c r="S30" s="25">
        <f>F30/(E30+F30+G30)</f>
        <v>5.6737079426167125E-2</v>
      </c>
      <c r="T30" s="25">
        <f>(E30)/(E30+F30+G30)</f>
        <v>0.46084696353949767</v>
      </c>
      <c r="U30" s="25">
        <f t="shared" ref="U30:V32" si="12">IF(OR(ISBLANK($R30),ISBLANK(S30)),"NA",$R30*S30)</f>
        <v>4.5774942023096933E-2</v>
      </c>
      <c r="V30" s="155">
        <f t="shared" si="12"/>
        <v>0.37180699554675445</v>
      </c>
      <c r="W30" s="156"/>
      <c r="X30" s="12">
        <v>2022</v>
      </c>
      <c r="Y30" s="144">
        <v>115317</v>
      </c>
      <c r="Z30" s="144">
        <v>12930</v>
      </c>
      <c r="AA30" s="30">
        <v>19162</v>
      </c>
      <c r="AB30" s="30">
        <v>3951</v>
      </c>
      <c r="AC30" s="30">
        <v>23222</v>
      </c>
      <c r="AD30" s="30">
        <v>10372</v>
      </c>
    </row>
    <row r="31" spans="1:30" ht="14.4" x14ac:dyDescent="0.55000000000000004">
      <c r="A31" s="13"/>
      <c r="B31" s="11" t="s">
        <v>109</v>
      </c>
      <c r="C31" s="140">
        <v>2021</v>
      </c>
      <c r="D31" s="23">
        <f>SUM(E31:I31)</f>
        <v>131112</v>
      </c>
      <c r="E31" s="38">
        <f>$Y31*((Z31+AA31)/SUM($Z31:$AD31))</f>
        <v>45541.733458527058</v>
      </c>
      <c r="F31" s="38">
        <f>$Y31*((AB31)/SUM($Z31:$AD31))</f>
        <v>8748.8109221426294</v>
      </c>
      <c r="G31" s="38">
        <f>$Y31*((AC31+AD31)/SUM($Z31:$AD31))</f>
        <v>51883.455619330314</v>
      </c>
      <c r="H31" s="154">
        <v>24427</v>
      </c>
      <c r="I31" s="154">
        <v>511</v>
      </c>
      <c r="J31" s="14"/>
      <c r="K31" s="14"/>
      <c r="L31" s="14"/>
      <c r="M31" s="14"/>
      <c r="N31" s="13"/>
      <c r="O31" s="13"/>
      <c r="P31" s="13"/>
      <c r="Q31" s="13" t="str">
        <f t="shared" ref="Q31:Q32" si="13">$A$25&amp;C31&amp;"INC"</f>
        <v>CPK2021INC</v>
      </c>
      <c r="R31" s="25">
        <f>SUM(E31:G31)/D31</f>
        <v>0.80979620477149306</v>
      </c>
      <c r="S31" s="25">
        <f>F31/(E31+F31+G31)</f>
        <v>8.240069058472535E-2</v>
      </c>
      <c r="T31" s="25">
        <f>(E31)/(E31+F31+G31)</f>
        <v>0.42893489421635295</v>
      </c>
      <c r="U31" s="25">
        <f t="shared" si="12"/>
        <v>6.6727766506060687E-2</v>
      </c>
      <c r="V31" s="155">
        <f t="shared" si="12"/>
        <v>0.34734984943046449</v>
      </c>
      <c r="W31" s="156"/>
      <c r="X31" s="12">
        <v>2021</v>
      </c>
      <c r="Y31" s="144">
        <v>106174</v>
      </c>
      <c r="Z31" s="144">
        <v>12283</v>
      </c>
      <c r="AA31" s="30">
        <v>16040</v>
      </c>
      <c r="AB31" s="30">
        <v>5441</v>
      </c>
      <c r="AC31" s="30">
        <v>21369</v>
      </c>
      <c r="AD31" s="30">
        <v>10898</v>
      </c>
    </row>
    <row r="32" spans="1:30" ht="12.6" x14ac:dyDescent="0.45">
      <c r="A32" s="13"/>
      <c r="B32" s="11"/>
      <c r="C32" s="140">
        <v>2020</v>
      </c>
      <c r="D32" s="23">
        <f>SUM(E32:I32)</f>
        <v>112723</v>
      </c>
      <c r="E32" s="38">
        <f>$Y32*((Z32+AA32)/SUM($Z32:$AD32))</f>
        <v>36428.166369962775</v>
      </c>
      <c r="F32" s="38">
        <f>$Y32*((AB32)/SUM($Z32:$AD32))</f>
        <v>6530.2333710956464</v>
      </c>
      <c r="G32" s="38">
        <f>$Y32*((AC32+AD32)/SUM($Z32:$AD32))</f>
        <v>49165.600258941573</v>
      </c>
      <c r="H32" s="38">
        <v>20664</v>
      </c>
      <c r="I32" s="38">
        <v>-65</v>
      </c>
      <c r="J32" s="14"/>
      <c r="K32" s="14"/>
      <c r="L32" s="14"/>
      <c r="M32" s="14"/>
      <c r="N32" s="13"/>
      <c r="O32" s="13"/>
      <c r="P32" s="13"/>
      <c r="Q32" s="13" t="str">
        <f t="shared" si="13"/>
        <v>CPK2020INC</v>
      </c>
      <c r="R32" s="25">
        <f>SUM(E32:G32)/D32</f>
        <v>0.81726000904873009</v>
      </c>
      <c r="S32" s="25">
        <f>F32/(E32+F32+G32)</f>
        <v>7.0885256513999031E-2</v>
      </c>
      <c r="T32" s="25">
        <f>(E32)/(E32+F32+G32)</f>
        <v>0.39542536548524571</v>
      </c>
      <c r="U32" s="25">
        <f t="shared" si="12"/>
        <v>5.7931685380052403E-2</v>
      </c>
      <c r="V32" s="155">
        <f t="shared" si="12"/>
        <v>0.32316533777456929</v>
      </c>
      <c r="W32" s="156"/>
      <c r="X32" s="12">
        <v>2020</v>
      </c>
      <c r="Y32" s="38">
        <v>92124</v>
      </c>
      <c r="Z32" s="38">
        <v>9448</v>
      </c>
      <c r="AA32" s="38">
        <v>12542</v>
      </c>
      <c r="AB32" s="157">
        <v>3942</v>
      </c>
      <c r="AC32" s="38">
        <v>20320</v>
      </c>
      <c r="AD32" s="38">
        <v>9359</v>
      </c>
    </row>
    <row r="33" spans="1:30" x14ac:dyDescent="0.4">
      <c r="A33" s="13"/>
      <c r="B33" s="11"/>
      <c r="C33" s="12"/>
      <c r="D33" s="13"/>
      <c r="E33" s="38"/>
      <c r="F33" s="38"/>
      <c r="G33" s="38"/>
      <c r="H33" s="38"/>
      <c r="I33" s="38"/>
      <c r="J33" s="14"/>
      <c r="K33" s="14"/>
      <c r="L33" s="14"/>
      <c r="M33" s="14"/>
      <c r="N33" s="13"/>
      <c r="O33" s="13"/>
      <c r="P33" s="13"/>
      <c r="Q33" s="13"/>
      <c r="R33" s="13"/>
      <c r="S33" s="13"/>
      <c r="T33" s="13"/>
      <c r="U33" s="13"/>
      <c r="V33" s="13"/>
      <c r="W33" s="13"/>
      <c r="X33" s="13"/>
      <c r="Y33" s="317" t="s">
        <v>110</v>
      </c>
      <c r="Z33" s="317"/>
      <c r="AA33" s="317"/>
      <c r="AB33" s="317"/>
      <c r="AC33" s="317"/>
      <c r="AD33" s="317"/>
    </row>
    <row r="34" spans="1:30" x14ac:dyDescent="0.4">
      <c r="A34" s="13"/>
      <c r="B34" s="11"/>
      <c r="C34" s="140">
        <v>2022</v>
      </c>
      <c r="D34" s="23">
        <f>SUM(E34:I34)</f>
        <v>2215037</v>
      </c>
      <c r="E34" s="38">
        <f>$Y34*((Z34+AA34)/SUM($Z34:$AD34))</f>
        <v>898631.24654187786</v>
      </c>
      <c r="F34" s="38">
        <f>$Y34*((AB34)/SUM($Z34:$AD34))</f>
        <v>194389.46317187627</v>
      </c>
      <c r="G34" s="38">
        <f>$Y34*((AC34+AD34)/SUM($Z34:$AD34))</f>
        <v>623234.29028624599</v>
      </c>
      <c r="H34" s="30">
        <v>463239</v>
      </c>
      <c r="I34" s="30">
        <v>35543</v>
      </c>
      <c r="J34" s="14"/>
      <c r="K34" s="14"/>
      <c r="L34" s="14"/>
      <c r="M34" s="14"/>
      <c r="N34" s="13"/>
      <c r="O34" s="13"/>
      <c r="P34" s="13"/>
      <c r="Q34" s="13" t="str">
        <f>$A$25&amp;C34&amp;"ASSETS"</f>
        <v>CPK2022ASSETS</v>
      </c>
      <c r="R34" s="25">
        <f>SUM(E34:G34)/D34</f>
        <v>0.77482001429321512</v>
      </c>
      <c r="S34" s="25">
        <f>F34/(E34+F34+G34)</f>
        <v>0.11326374179354248</v>
      </c>
      <c r="T34" s="25">
        <f>(E34)/(E34+F34+G34)</f>
        <v>0.52360007489672444</v>
      </c>
      <c r="U34" s="25">
        <f t="shared" ref="U34:V36" si="14">IF(OR(ISBLANK($R34),ISBLANK(S34)),"NA",$R34*S34)</f>
        <v>8.7759014035375615E-2</v>
      </c>
      <c r="V34" s="25">
        <f t="shared" si="14"/>
        <v>0.40569581751540856</v>
      </c>
      <c r="W34" s="25"/>
      <c r="X34" s="12">
        <v>2022</v>
      </c>
      <c r="Y34" s="144">
        <v>1716255</v>
      </c>
      <c r="Z34" s="144">
        <v>387045</v>
      </c>
      <c r="AA34" s="144">
        <v>507798</v>
      </c>
      <c r="AB34" s="144">
        <v>193570</v>
      </c>
      <c r="AC34" s="144">
        <v>477905</v>
      </c>
      <c r="AD34" s="144">
        <v>142702</v>
      </c>
    </row>
    <row r="35" spans="1:30" ht="14.4" x14ac:dyDescent="0.55000000000000004">
      <c r="A35" s="13"/>
      <c r="B35" s="11" t="s">
        <v>110</v>
      </c>
      <c r="C35" s="140">
        <v>2021</v>
      </c>
      <c r="D35" s="23">
        <f>SUM(E35:I35)</f>
        <v>2114869</v>
      </c>
      <c r="E35" s="38">
        <f>$Y35*((Z35+AA35)/SUM($Z35:$AD35))</f>
        <v>835617.31287337642</v>
      </c>
      <c r="F35" s="38">
        <f>$Y35*((AB35)/SUM($Z35:$AD35))</f>
        <v>168037.87376116737</v>
      </c>
      <c r="G35" s="38">
        <f>$Y35*((AC35+AD35)/SUM($Z35:$AD35))</f>
        <v>625535.8133654563</v>
      </c>
      <c r="H35" s="154">
        <v>439114</v>
      </c>
      <c r="I35" s="154">
        <v>46564</v>
      </c>
      <c r="J35" s="14"/>
      <c r="K35" s="14"/>
      <c r="L35" s="14"/>
      <c r="M35" s="14"/>
      <c r="N35" s="13"/>
      <c r="O35" s="13"/>
      <c r="P35" s="13"/>
      <c r="Q35" s="13" t="str">
        <f t="shared" ref="Q35:Q36" si="15">$A$25&amp;C35&amp;"ASSETS"</f>
        <v>CPK2021ASSETS</v>
      </c>
      <c r="R35" s="25">
        <f>SUM(E35:G35)/D35</f>
        <v>0.77035078768472187</v>
      </c>
      <c r="S35" s="25">
        <f>F35/(E35+F35+G35)</f>
        <v>0.10314191139109372</v>
      </c>
      <c r="T35" s="25">
        <f>(E35)/(E35+F35+G35)</f>
        <v>0.51290322182811987</v>
      </c>
      <c r="U35" s="25">
        <f t="shared" si="14"/>
        <v>7.9455452683436831E-2</v>
      </c>
      <c r="V35" s="25">
        <f t="shared" si="14"/>
        <v>0.3951154009413238</v>
      </c>
      <c r="W35" s="25"/>
      <c r="X35" s="12">
        <v>2021</v>
      </c>
      <c r="Y35" s="144">
        <v>1629191</v>
      </c>
      <c r="Z35" s="144">
        <v>350196</v>
      </c>
      <c r="AA35" s="144">
        <v>481573</v>
      </c>
      <c r="AB35" s="144">
        <v>167264</v>
      </c>
      <c r="AC35" s="144">
        <v>482161</v>
      </c>
      <c r="AD35" s="144">
        <v>140494</v>
      </c>
    </row>
    <row r="36" spans="1:30" x14ac:dyDescent="0.4">
      <c r="A36" s="13"/>
      <c r="B36" s="11"/>
      <c r="C36" s="140">
        <v>2020</v>
      </c>
      <c r="D36" s="23">
        <f>SUM(E36:I36)</f>
        <v>1932487</v>
      </c>
      <c r="E36" s="38">
        <f>$Y36*((Z36+AA36)/SUM($Z36:$AD36))</f>
        <v>771791.41491442546</v>
      </c>
      <c r="F36" s="38">
        <f>$Y36*((AB36)/SUM($Z36:$AD36))</f>
        <v>173851.6235029301</v>
      </c>
      <c r="G36" s="38">
        <f>$Y36*((AC36+AD36)/SUM($Z36:$AD36))</f>
        <v>601975.96158264449</v>
      </c>
      <c r="H36" s="38">
        <v>347665</v>
      </c>
      <c r="I36" s="38">
        <v>37203</v>
      </c>
      <c r="J36" s="14"/>
      <c r="K36" s="14"/>
      <c r="L36" s="14"/>
      <c r="M36" s="14"/>
      <c r="N36" s="13"/>
      <c r="O36" s="13"/>
      <c r="P36" s="13"/>
      <c r="Q36" s="13" t="str">
        <f t="shared" si="15"/>
        <v>CPK2020ASSETS</v>
      </c>
      <c r="R36" s="25">
        <f>SUM(E36:G36)/D36</f>
        <v>0.80084316220497209</v>
      </c>
      <c r="S36" s="25">
        <f>F36/(E36+F36+G36)</f>
        <v>0.1123348986429671</v>
      </c>
      <c r="T36" s="25">
        <f>(E36)/(E36+F36+G36)</f>
        <v>0.49869600651996743</v>
      </c>
      <c r="U36" s="25">
        <f t="shared" si="14"/>
        <v>8.99626354552088E-2</v>
      </c>
      <c r="V36" s="25">
        <f t="shared" si="14"/>
        <v>0.3993772868404421</v>
      </c>
      <c r="W36" s="25"/>
      <c r="X36" s="12">
        <v>2020</v>
      </c>
      <c r="Y36" s="38">
        <v>1547619</v>
      </c>
      <c r="Z36" s="38">
        <v>319028</v>
      </c>
      <c r="AA36" s="38">
        <v>451966</v>
      </c>
      <c r="AB36" s="38">
        <v>173672</v>
      </c>
      <c r="AC36" s="38">
        <v>471492</v>
      </c>
      <c r="AD36" s="38">
        <v>129862</v>
      </c>
    </row>
    <row r="37" spans="1:30" x14ac:dyDescent="0.4">
      <c r="B37" s="137"/>
    </row>
    <row r="38" spans="1:30" x14ac:dyDescent="0.4">
      <c r="B38" s="137"/>
    </row>
    <row r="39" spans="1:30" x14ac:dyDescent="0.4">
      <c r="B39" s="137"/>
    </row>
    <row r="40" spans="1:30" x14ac:dyDescent="0.4">
      <c r="A40" s="10" t="s">
        <v>390</v>
      </c>
      <c r="B40" s="11"/>
      <c r="C40" s="12"/>
      <c r="D40" s="13"/>
      <c r="E40" s="14"/>
      <c r="F40" s="14"/>
      <c r="G40" s="14"/>
      <c r="H40" s="14"/>
      <c r="I40" s="14"/>
      <c r="J40" s="14"/>
      <c r="K40" s="14"/>
      <c r="L40" s="14"/>
      <c r="M40" s="14"/>
      <c r="N40" s="139"/>
      <c r="O40" s="13"/>
      <c r="P40" s="13"/>
      <c r="Q40" s="13"/>
      <c r="R40" s="13"/>
      <c r="S40" s="13"/>
      <c r="T40" s="13"/>
      <c r="U40" s="13"/>
      <c r="V40" s="13"/>
      <c r="W40" s="13"/>
      <c r="X40" s="13"/>
    </row>
    <row r="41" spans="1:30" x14ac:dyDescent="0.4">
      <c r="A41" s="13" t="s">
        <v>391</v>
      </c>
      <c r="B41" s="11"/>
      <c r="C41" s="12"/>
      <c r="D41" s="13"/>
      <c r="E41" s="14"/>
      <c r="F41" s="14"/>
      <c r="G41" s="14"/>
      <c r="H41" s="14"/>
      <c r="I41" s="14"/>
      <c r="J41" s="14"/>
      <c r="K41" s="14"/>
      <c r="L41" s="14"/>
      <c r="M41" s="14"/>
      <c r="N41" s="139"/>
      <c r="O41" s="13"/>
      <c r="P41" s="13"/>
      <c r="Q41" s="13"/>
      <c r="R41" s="13"/>
      <c r="S41" s="13"/>
      <c r="T41" s="13"/>
      <c r="U41" s="13"/>
      <c r="V41" s="13"/>
      <c r="W41" s="13"/>
      <c r="X41" s="13"/>
    </row>
    <row r="42" spans="1:30" ht="36.9" x14ac:dyDescent="0.4">
      <c r="A42" s="10" t="s">
        <v>392</v>
      </c>
      <c r="B42" s="11"/>
      <c r="C42" s="12" t="s">
        <v>127</v>
      </c>
      <c r="D42" s="12" t="s">
        <v>96</v>
      </c>
      <c r="E42" s="16" t="s">
        <v>135</v>
      </c>
      <c r="F42" s="16" t="s">
        <v>393</v>
      </c>
      <c r="G42" s="151" t="s">
        <v>130</v>
      </c>
      <c r="H42" s="16" t="s">
        <v>101</v>
      </c>
      <c r="I42" s="14"/>
      <c r="J42" s="14"/>
      <c r="K42" s="19"/>
      <c r="L42" s="14"/>
      <c r="M42" s="14"/>
      <c r="N42" s="13"/>
      <c r="O42" s="13"/>
      <c r="P42" s="13"/>
      <c r="Q42" s="20"/>
      <c r="R42" s="21" t="s">
        <v>102</v>
      </c>
      <c r="S42" s="21" t="s">
        <v>103</v>
      </c>
      <c r="T42" s="21" t="s">
        <v>104</v>
      </c>
      <c r="U42" s="21" t="s">
        <v>105</v>
      </c>
      <c r="V42" s="21" t="s">
        <v>106</v>
      </c>
      <c r="W42" s="22"/>
      <c r="X42" s="22"/>
    </row>
    <row r="43" spans="1:30" x14ac:dyDescent="0.4">
      <c r="A43" s="13"/>
      <c r="B43" s="11"/>
      <c r="C43" s="136">
        <v>2022</v>
      </c>
      <c r="D43" s="23">
        <f>SUM(E43:M43)</f>
        <v>2198500</v>
      </c>
      <c r="E43" s="18">
        <v>1946100</v>
      </c>
      <c r="F43" s="18">
        <v>234900</v>
      </c>
      <c r="G43" s="18">
        <v>69200</v>
      </c>
      <c r="H43" s="18">
        <v>-51700</v>
      </c>
      <c r="I43" s="14"/>
      <c r="J43" s="14"/>
      <c r="K43" s="19"/>
      <c r="L43" s="14"/>
      <c r="M43" s="14"/>
      <c r="N43" s="13"/>
      <c r="O43" s="13"/>
      <c r="P43" s="13"/>
      <c r="Q43" s="13" t="str">
        <f>$A$42&amp;C43&amp;"REV"</f>
        <v>SR2022REV</v>
      </c>
      <c r="R43" s="25">
        <f>E43/D43</f>
        <v>0.88519445076188308</v>
      </c>
      <c r="S43" s="25">
        <f>0/E43</f>
        <v>0</v>
      </c>
      <c r="T43" s="25">
        <f>E43/E43</f>
        <v>1</v>
      </c>
      <c r="U43" s="25">
        <f t="shared" ref="U43:V45" si="16">IF(OR(ISBLANK($R43),ISBLANK(S43)),"NA",$R43*S43)</f>
        <v>0</v>
      </c>
      <c r="V43" s="25">
        <f t="shared" si="16"/>
        <v>0.88519445076188308</v>
      </c>
      <c r="W43" s="25"/>
      <c r="X43" s="25"/>
    </row>
    <row r="44" spans="1:30" x14ac:dyDescent="0.4">
      <c r="A44" s="13"/>
      <c r="B44" s="11" t="s">
        <v>107</v>
      </c>
      <c r="C44" s="12">
        <v>2021</v>
      </c>
      <c r="D44" s="23">
        <f>SUM(E44:M44)</f>
        <v>2235500</v>
      </c>
      <c r="E44" s="18">
        <v>2119300</v>
      </c>
      <c r="F44" s="18">
        <v>96500</v>
      </c>
      <c r="G44" s="18">
        <v>67700</v>
      </c>
      <c r="H44" s="18">
        <v>-48000</v>
      </c>
      <c r="I44" s="14"/>
      <c r="J44" s="14"/>
      <c r="K44" s="14"/>
      <c r="L44" s="14"/>
      <c r="M44" s="14"/>
      <c r="N44" s="13"/>
      <c r="O44" s="13"/>
      <c r="P44" s="13"/>
      <c r="Q44" s="13" t="str">
        <f t="shared" ref="Q44:Q45" si="17">$A$42&amp;C44&amp;"REV"</f>
        <v>SR2021REV</v>
      </c>
      <c r="R44" s="25">
        <f t="shared" ref="R44:R45" si="18">E44/D44</f>
        <v>0.94802057705211362</v>
      </c>
      <c r="S44" s="25">
        <f t="shared" ref="S44:S45" si="19">0/E44</f>
        <v>0</v>
      </c>
      <c r="T44" s="25">
        <f t="shared" ref="T44:T45" si="20">E44/E44</f>
        <v>1</v>
      </c>
      <c r="U44" s="25">
        <f t="shared" si="16"/>
        <v>0</v>
      </c>
      <c r="V44" s="25">
        <f t="shared" si="16"/>
        <v>0.94802057705211362</v>
      </c>
      <c r="W44" s="25"/>
      <c r="X44" s="25"/>
    </row>
    <row r="45" spans="1:30" x14ac:dyDescent="0.4">
      <c r="A45" s="13"/>
      <c r="B45" s="11"/>
      <c r="C45" s="12">
        <v>2020</v>
      </c>
      <c r="D45" s="23">
        <f>SUM(E45:M45)</f>
        <v>1855400</v>
      </c>
      <c r="E45" s="142">
        <v>1752000</v>
      </c>
      <c r="F45" s="142">
        <v>87900</v>
      </c>
      <c r="G45" s="158">
        <v>57800</v>
      </c>
      <c r="H45" s="142">
        <v>-42300</v>
      </c>
      <c r="I45" s="14"/>
      <c r="J45" s="14"/>
      <c r="K45" s="14"/>
      <c r="L45" s="14"/>
      <c r="M45" s="14"/>
      <c r="N45" s="13"/>
      <c r="O45" s="13"/>
      <c r="P45" s="13"/>
      <c r="Q45" s="13" t="str">
        <f t="shared" si="17"/>
        <v>SR2020REV</v>
      </c>
      <c r="R45" s="25">
        <f t="shared" si="18"/>
        <v>0.94427077719090224</v>
      </c>
      <c r="S45" s="25">
        <f t="shared" si="19"/>
        <v>0</v>
      </c>
      <c r="T45" s="25">
        <f t="shared" si="20"/>
        <v>1</v>
      </c>
      <c r="U45" s="25">
        <f t="shared" si="16"/>
        <v>0</v>
      </c>
      <c r="V45" s="25">
        <f t="shared" si="16"/>
        <v>0.94427077719090224</v>
      </c>
      <c r="W45" s="25"/>
      <c r="X45" s="25"/>
    </row>
    <row r="46" spans="1:30" x14ac:dyDescent="0.4">
      <c r="A46" s="13"/>
      <c r="B46" s="11"/>
      <c r="C46" s="12"/>
      <c r="D46" s="12"/>
      <c r="E46" s="33"/>
      <c r="F46" s="33"/>
      <c r="G46" s="34"/>
      <c r="H46" s="34"/>
      <c r="I46" s="14"/>
      <c r="J46" s="14"/>
      <c r="K46" s="14"/>
      <c r="L46" s="14"/>
      <c r="M46" s="14"/>
      <c r="N46" s="13"/>
      <c r="O46" s="13"/>
      <c r="P46" s="13"/>
      <c r="Q46" s="13"/>
      <c r="R46" s="13"/>
      <c r="S46" s="13"/>
      <c r="T46" s="13"/>
      <c r="U46" s="13"/>
      <c r="V46" s="13"/>
      <c r="W46" s="13"/>
      <c r="X46" s="13"/>
    </row>
    <row r="47" spans="1:30" x14ac:dyDescent="0.4">
      <c r="A47" s="13"/>
      <c r="B47" s="11"/>
      <c r="C47" s="136">
        <v>2022</v>
      </c>
      <c r="D47" s="23">
        <f>SUM(E47:M47)</f>
        <v>408200</v>
      </c>
      <c r="E47" s="30">
        <v>339900</v>
      </c>
      <c r="F47" s="30">
        <v>46900</v>
      </c>
      <c r="G47" s="30">
        <v>21400</v>
      </c>
      <c r="H47" s="36">
        <v>0</v>
      </c>
      <c r="I47" s="14"/>
      <c r="J47" s="14"/>
      <c r="K47" s="14"/>
      <c r="L47" s="14"/>
      <c r="M47" s="14"/>
      <c r="N47" s="13"/>
      <c r="O47" s="13"/>
      <c r="P47" s="13"/>
      <c r="Q47" s="13" t="str">
        <f>$A$42&amp;C47&amp;"INC"</f>
        <v>SR2022INC</v>
      </c>
      <c r="R47" s="25">
        <f>IF(E47/D47&gt;100%, 100%, E47/D47)</f>
        <v>0.83268005879470852</v>
      </c>
      <c r="S47" s="25">
        <f>0/E47</f>
        <v>0</v>
      </c>
      <c r="T47" s="25">
        <f>E47/E47</f>
        <v>1</v>
      </c>
      <c r="U47" s="25">
        <f>IF(OR(ISBLANK($R47),ISBLANK(S47)),"NA",$R47*S47)</f>
        <v>0</v>
      </c>
      <c r="V47" s="155">
        <f>IF(OR(ISBLANK($R47),ISBLANK(T47)),"NA",$R47*T47)</f>
        <v>0.83268005879470852</v>
      </c>
      <c r="W47" s="25"/>
      <c r="X47" s="25"/>
    </row>
    <row r="48" spans="1:30" x14ac:dyDescent="0.4">
      <c r="A48" s="13"/>
      <c r="B48" s="11" t="s">
        <v>109</v>
      </c>
      <c r="C48" s="12">
        <v>2021</v>
      </c>
      <c r="D48" s="23">
        <f>SUM(E48:M48)</f>
        <v>450200</v>
      </c>
      <c r="E48" s="30">
        <v>374000</v>
      </c>
      <c r="F48" s="30">
        <v>58500</v>
      </c>
      <c r="G48" s="30">
        <v>17700</v>
      </c>
      <c r="H48" s="36">
        <v>0</v>
      </c>
      <c r="I48" s="14"/>
      <c r="J48" s="14"/>
      <c r="K48" s="14"/>
      <c r="L48" s="14"/>
      <c r="M48" s="14"/>
      <c r="N48" s="13"/>
      <c r="O48" s="13"/>
      <c r="P48" s="13"/>
      <c r="Q48" s="13" t="str">
        <f t="shared" ref="Q48:Q49" si="21">$A$42&amp;C48&amp;"INC"</f>
        <v>SR2021INC</v>
      </c>
      <c r="R48" s="25">
        <f t="shared" ref="R48:R49" si="22">IF(E48/D48&gt;100%, 100%, E48/D48)</f>
        <v>0.83074189249222563</v>
      </c>
      <c r="S48" s="25">
        <f t="shared" ref="S48:S49" si="23">0/E48</f>
        <v>0</v>
      </c>
      <c r="T48" s="25">
        <f t="shared" ref="T48:T49" si="24">E48/E48</f>
        <v>1</v>
      </c>
      <c r="U48" s="25">
        <f t="shared" ref="U48:V49" si="25">IF(OR(ISBLANK($R48),ISBLANK(S48)),"NA",$R48*S48)</f>
        <v>0</v>
      </c>
      <c r="V48" s="155">
        <f t="shared" si="25"/>
        <v>0.83074189249222563</v>
      </c>
      <c r="W48" s="25"/>
      <c r="X48" s="25"/>
    </row>
    <row r="49" spans="1:24" x14ac:dyDescent="0.4">
      <c r="A49" s="13"/>
      <c r="B49" s="11"/>
      <c r="C49" s="12">
        <v>2020</v>
      </c>
      <c r="D49" s="23">
        <f>SUM(E49:M49)</f>
        <v>206400</v>
      </c>
      <c r="E49" s="35">
        <v>334300</v>
      </c>
      <c r="F49" s="35">
        <v>9300</v>
      </c>
      <c r="G49" s="36">
        <v>-137200</v>
      </c>
      <c r="H49" s="36">
        <v>0</v>
      </c>
      <c r="I49" s="14"/>
      <c r="J49" s="14"/>
      <c r="K49" s="14"/>
      <c r="L49" s="14"/>
      <c r="M49" s="14"/>
      <c r="N49" s="13"/>
      <c r="O49" s="13"/>
      <c r="P49" s="13"/>
      <c r="Q49" s="13" t="str">
        <f t="shared" si="21"/>
        <v>SR2020INC</v>
      </c>
      <c r="R49" s="25">
        <f t="shared" si="22"/>
        <v>1</v>
      </c>
      <c r="S49" s="25">
        <f t="shared" si="23"/>
        <v>0</v>
      </c>
      <c r="T49" s="25">
        <f t="shared" si="24"/>
        <v>1</v>
      </c>
      <c r="U49" s="25">
        <f t="shared" si="25"/>
        <v>0</v>
      </c>
      <c r="V49" s="155">
        <f t="shared" si="25"/>
        <v>1</v>
      </c>
      <c r="W49" s="25"/>
      <c r="X49" s="25"/>
    </row>
    <row r="50" spans="1:24" x14ac:dyDescent="0.4">
      <c r="A50" s="13"/>
      <c r="B50" s="11"/>
      <c r="C50" s="12"/>
      <c r="D50" s="13"/>
      <c r="E50" s="37"/>
      <c r="F50" s="37"/>
      <c r="G50" s="37"/>
      <c r="H50" s="37"/>
      <c r="I50" s="14"/>
      <c r="J50" s="14"/>
      <c r="K50" s="14"/>
      <c r="L50" s="14"/>
      <c r="M50" s="14"/>
      <c r="N50" s="13"/>
      <c r="O50" s="13"/>
      <c r="P50" s="13"/>
      <c r="Q50" s="13"/>
      <c r="R50" s="13"/>
      <c r="S50" s="13"/>
      <c r="T50" s="13"/>
      <c r="U50" s="13"/>
      <c r="V50" s="13"/>
      <c r="W50" s="13"/>
      <c r="X50" s="13"/>
    </row>
    <row r="51" spans="1:24" x14ac:dyDescent="0.4">
      <c r="A51" s="13"/>
      <c r="B51" s="11"/>
      <c r="C51" s="136">
        <v>2022</v>
      </c>
      <c r="D51" s="23">
        <f t="shared" ref="D51:D52" si="26">SUM(E51:M51)</f>
        <v>10083700</v>
      </c>
      <c r="E51" s="30">
        <v>8042800</v>
      </c>
      <c r="F51" s="30">
        <v>638700</v>
      </c>
      <c r="G51" s="30">
        <v>2895200</v>
      </c>
      <c r="H51" s="30">
        <v>-1493000</v>
      </c>
      <c r="I51" s="14"/>
      <c r="J51" s="14"/>
      <c r="K51" s="14"/>
      <c r="L51" s="14"/>
      <c r="M51" s="14"/>
      <c r="N51" s="13"/>
      <c r="O51" s="13"/>
      <c r="P51" s="13"/>
      <c r="Q51" s="13" t="str">
        <f>$A$42&amp;C51&amp;"ASSETS"</f>
        <v>SR2022ASSETS</v>
      </c>
      <c r="R51" s="25">
        <f>E51/D51</f>
        <v>0.79760405406745538</v>
      </c>
      <c r="S51" s="25">
        <f>0/E51</f>
        <v>0</v>
      </c>
      <c r="T51" s="25">
        <f>E51/E51</f>
        <v>1</v>
      </c>
      <c r="U51" s="25">
        <f>IF(OR(ISBLANK($R51),ISBLANK(S51)),"NA",$R51*S51)</f>
        <v>0</v>
      </c>
      <c r="V51" s="25">
        <f>IF(OR(ISBLANK($R51),ISBLANK(T51)),"NA",$R51*T51)</f>
        <v>0.79760405406745538</v>
      </c>
      <c r="W51" s="25"/>
      <c r="X51" s="25"/>
    </row>
    <row r="52" spans="1:24" x14ac:dyDescent="0.4">
      <c r="A52" s="13"/>
      <c r="B52" s="11" t="s">
        <v>110</v>
      </c>
      <c r="C52" s="12">
        <v>2021</v>
      </c>
      <c r="D52" s="23">
        <f t="shared" si="26"/>
        <v>9356400</v>
      </c>
      <c r="E52" s="30">
        <v>7615400</v>
      </c>
      <c r="F52" s="30">
        <v>466100</v>
      </c>
      <c r="G52" s="30">
        <v>2351700</v>
      </c>
      <c r="H52" s="30">
        <v>-1076800</v>
      </c>
      <c r="I52" s="14"/>
      <c r="J52" s="14"/>
      <c r="K52" s="14"/>
      <c r="L52" s="14"/>
      <c r="M52" s="14"/>
      <c r="N52" s="13"/>
      <c r="O52" s="13"/>
      <c r="P52" s="13"/>
      <c r="Q52" s="13" t="str">
        <f t="shared" ref="Q52:Q53" si="27">$A$42&amp;C52&amp;"ASSETS"</f>
        <v>SR2021ASSETS</v>
      </c>
      <c r="R52" s="25">
        <f t="shared" ref="R52:R53" si="28">E52/D52</f>
        <v>0.81392415886452052</v>
      </c>
      <c r="S52" s="25">
        <f t="shared" ref="S52:S53" si="29">0/E52</f>
        <v>0</v>
      </c>
      <c r="T52" s="25">
        <f t="shared" ref="T52:T53" si="30">E52/E52</f>
        <v>1</v>
      </c>
      <c r="U52" s="25">
        <f>IF(OR(ISBLANK($R52),ISBLANK(S52)),"NA",$R52*S52)</f>
        <v>0</v>
      </c>
      <c r="V52" s="25">
        <f>IF(OR(ISBLANK($R52),ISBLANK(T52)),"NA",$R52*T52)</f>
        <v>0.81392415886452052</v>
      </c>
      <c r="W52" s="25"/>
      <c r="X52" s="25"/>
    </row>
    <row r="53" spans="1:24" x14ac:dyDescent="0.4">
      <c r="A53" s="13"/>
      <c r="B53" s="13"/>
      <c r="C53" s="12">
        <v>2020</v>
      </c>
      <c r="D53" s="23">
        <f>SUM(E53:M53)</f>
        <v>8241200</v>
      </c>
      <c r="E53" s="32">
        <v>6716200</v>
      </c>
      <c r="F53" s="32">
        <v>182700</v>
      </c>
      <c r="G53" s="32">
        <v>2443500</v>
      </c>
      <c r="H53" s="32">
        <v>-1101200</v>
      </c>
      <c r="I53" s="14"/>
      <c r="J53" s="14"/>
      <c r="K53" s="14"/>
      <c r="L53" s="14"/>
      <c r="M53" s="14"/>
      <c r="N53" s="13"/>
      <c r="O53" s="13"/>
      <c r="P53" s="13"/>
      <c r="Q53" s="13" t="str">
        <f t="shared" si="27"/>
        <v>SR2020ASSETS</v>
      </c>
      <c r="R53" s="25">
        <f t="shared" si="28"/>
        <v>0.81495413289326801</v>
      </c>
      <c r="S53" s="25">
        <f t="shared" si="29"/>
        <v>0</v>
      </c>
      <c r="T53" s="25">
        <f t="shared" si="30"/>
        <v>1</v>
      </c>
      <c r="U53" s="25">
        <f t="shared" ref="U53:V53" si="31">IF(OR(ISBLANK($R53),ISBLANK(S53)),"NA",$R53*S53)</f>
        <v>0</v>
      </c>
      <c r="V53" s="25">
        <f t="shared" si="31"/>
        <v>0.81495413289326801</v>
      </c>
      <c r="W53" s="25"/>
      <c r="X53" s="25"/>
    </row>
    <row r="54" spans="1:24" x14ac:dyDescent="0.4">
      <c r="B54" s="137"/>
    </row>
    <row r="55" spans="1:24" x14ac:dyDescent="0.4">
      <c r="B55" s="137"/>
    </row>
    <row r="56" spans="1:24" x14ac:dyDescent="0.4">
      <c r="B56" s="137"/>
    </row>
    <row r="57" spans="1:24" x14ac:dyDescent="0.4">
      <c r="A57" s="10" t="s">
        <v>394</v>
      </c>
      <c r="B57" s="11"/>
      <c r="C57" s="12"/>
      <c r="D57" s="13"/>
      <c r="E57" s="14"/>
      <c r="F57" s="14"/>
      <c r="G57" s="14"/>
      <c r="H57" s="14"/>
      <c r="I57" s="14"/>
      <c r="J57" s="14"/>
      <c r="K57" s="14"/>
      <c r="L57" s="14"/>
      <c r="M57" s="14"/>
      <c r="N57" s="139"/>
      <c r="O57" s="13"/>
      <c r="P57" s="13"/>
      <c r="Q57" s="13"/>
      <c r="R57" s="13"/>
      <c r="S57" s="13"/>
      <c r="T57" s="13"/>
      <c r="U57" s="13"/>
      <c r="V57" s="13"/>
      <c r="W57" s="13"/>
      <c r="X57" s="13"/>
    </row>
    <row r="58" spans="1:24" x14ac:dyDescent="0.4">
      <c r="A58" s="13" t="s">
        <v>395</v>
      </c>
      <c r="B58" s="11"/>
      <c r="C58" s="12"/>
      <c r="D58" s="13"/>
      <c r="E58" s="14"/>
      <c r="F58" s="14"/>
      <c r="G58" s="14"/>
      <c r="H58" s="14"/>
      <c r="I58" s="14"/>
      <c r="J58" s="14"/>
      <c r="K58" s="14"/>
      <c r="L58" s="14"/>
      <c r="M58" s="14"/>
      <c r="N58" s="139"/>
      <c r="O58" s="13"/>
      <c r="P58" s="13"/>
      <c r="Q58" s="13"/>
      <c r="R58" s="13"/>
      <c r="S58" s="13"/>
      <c r="T58" s="13"/>
      <c r="U58" s="13"/>
      <c r="V58" s="13"/>
      <c r="W58" s="13"/>
      <c r="X58" s="13"/>
    </row>
    <row r="59" spans="1:24" ht="36.9" x14ac:dyDescent="0.4">
      <c r="A59" s="10" t="s">
        <v>396</v>
      </c>
      <c r="B59" s="11"/>
      <c r="C59" s="12" t="s">
        <v>127</v>
      </c>
      <c r="D59" s="12" t="s">
        <v>96</v>
      </c>
      <c r="E59" s="16" t="s">
        <v>175</v>
      </c>
      <c r="F59" s="16" t="s">
        <v>397</v>
      </c>
      <c r="G59" s="151" t="s">
        <v>398</v>
      </c>
      <c r="H59" s="16" t="s">
        <v>399</v>
      </c>
      <c r="I59" s="14" t="s">
        <v>400</v>
      </c>
      <c r="J59" s="38" t="s">
        <v>101</v>
      </c>
      <c r="K59" s="14"/>
      <c r="L59" s="14"/>
      <c r="M59" s="14"/>
      <c r="N59" s="13"/>
      <c r="O59" s="13"/>
      <c r="P59" s="13"/>
      <c r="Q59" s="20"/>
      <c r="R59" s="21" t="s">
        <v>102</v>
      </c>
      <c r="S59" s="21" t="s">
        <v>103</v>
      </c>
      <c r="T59" s="21" t="s">
        <v>104</v>
      </c>
      <c r="U59" s="21" t="s">
        <v>105</v>
      </c>
      <c r="V59" s="21" t="s">
        <v>106</v>
      </c>
      <c r="W59" s="22"/>
      <c r="X59" s="22"/>
    </row>
    <row r="60" spans="1:24" x14ac:dyDescent="0.4">
      <c r="A60" s="13"/>
      <c r="B60" s="11"/>
      <c r="C60" s="136">
        <v>2022</v>
      </c>
      <c r="D60" s="23">
        <f>SUM(E60:J60)</f>
        <v>2901722</v>
      </c>
      <c r="E60" s="144">
        <v>1127417</v>
      </c>
      <c r="F60" s="18">
        <v>128280</v>
      </c>
      <c r="G60" s="18">
        <v>1529178</v>
      </c>
      <c r="H60" s="18">
        <v>65286</v>
      </c>
      <c r="I60" s="18">
        <v>55818</v>
      </c>
      <c r="J60" s="30">
        <v>-4257</v>
      </c>
      <c r="K60" s="14"/>
      <c r="L60" s="14"/>
      <c r="M60" s="14"/>
      <c r="N60" s="13"/>
      <c r="O60" s="13"/>
      <c r="P60" s="13"/>
      <c r="Q60" s="13" t="str">
        <f>$A$59&amp;C60&amp;"REV"</f>
        <v>NJR2022REV</v>
      </c>
      <c r="R60" s="25">
        <f>SUM(E60,H60)/D60</f>
        <v>0.41103282809311159</v>
      </c>
      <c r="S60" s="25">
        <f>0/SUM(E60,H60)</f>
        <v>0</v>
      </c>
      <c r="T60" s="25">
        <f>E60/SUM(E60,H60)</f>
        <v>0.94526214824646204</v>
      </c>
      <c r="U60" s="25">
        <f>IF(OR(ISBLANK($R60),ISBLANK(S60)),"NA",$R60*S60)</f>
        <v>0</v>
      </c>
      <c r="V60" s="25">
        <f>IF(OR(ISBLANK($R60),ISBLANK(T60)),"NA",$R60*T60)</f>
        <v>0.3885337740831134</v>
      </c>
      <c r="W60" s="25"/>
      <c r="X60" s="25"/>
    </row>
    <row r="61" spans="1:24" ht="14.4" x14ac:dyDescent="0.55000000000000004">
      <c r="A61" s="13"/>
      <c r="B61" s="11" t="s">
        <v>107</v>
      </c>
      <c r="C61" s="12">
        <v>2021</v>
      </c>
      <c r="D61" s="23">
        <f>SUM(E61:J61)</f>
        <v>2154486</v>
      </c>
      <c r="E61" s="144">
        <v>731796</v>
      </c>
      <c r="F61" s="147">
        <v>95275</v>
      </c>
      <c r="G61" s="147">
        <v>1228846</v>
      </c>
      <c r="H61" s="147">
        <v>49252</v>
      </c>
      <c r="I61" s="147">
        <v>51444</v>
      </c>
      <c r="J61" s="147">
        <v>-2127</v>
      </c>
      <c r="K61" s="14"/>
      <c r="L61" s="14"/>
      <c r="M61" s="14"/>
      <c r="N61" s="13"/>
      <c r="O61" s="13"/>
      <c r="P61" s="13"/>
      <c r="Q61" s="13" t="str">
        <f t="shared" ref="Q61:Q62" si="32">$A$59&amp;C61&amp;"REV"</f>
        <v>NJR2021REV</v>
      </c>
      <c r="R61" s="25">
        <f t="shared" ref="R61:R62" si="33">SUM(E61,H61)/D61</f>
        <v>0.36252173372210356</v>
      </c>
      <c r="S61" s="25">
        <f t="shared" ref="S61:S62" si="34">0/SUM(E61,H61)</f>
        <v>0</v>
      </c>
      <c r="T61" s="25">
        <f t="shared" ref="T61:T62" si="35">E61/SUM(E61,H61)</f>
        <v>0.93694113549999491</v>
      </c>
      <c r="U61" s="25">
        <f>IF(OR(ISBLANK($R61),ISBLANK(S61)),"NA",$R61*S61)</f>
        <v>0</v>
      </c>
      <c r="V61" s="25">
        <f>IF(OR(ISBLANK($R61),ISBLANK(T61)),"NA",$R61*T61)</f>
        <v>0.33966152483701451</v>
      </c>
      <c r="W61" s="25"/>
      <c r="X61" s="25"/>
    </row>
    <row r="62" spans="1:24" x14ac:dyDescent="0.4">
      <c r="A62" s="13"/>
      <c r="B62" s="11"/>
      <c r="C62" s="12">
        <v>2020</v>
      </c>
      <c r="D62" s="23">
        <f>SUM(E62:J62)</f>
        <v>1948632</v>
      </c>
      <c r="E62" s="16">
        <v>729923</v>
      </c>
      <c r="F62" s="142">
        <v>102617</v>
      </c>
      <c r="G62" s="158">
        <v>1029303</v>
      </c>
      <c r="H62" s="142">
        <v>42015</v>
      </c>
      <c r="I62" s="38">
        <v>49810</v>
      </c>
      <c r="J62" s="38">
        <v>-5036</v>
      </c>
      <c r="K62" s="14"/>
      <c r="L62" s="14"/>
      <c r="M62" s="14"/>
      <c r="N62" s="13"/>
      <c r="O62" s="13"/>
      <c r="P62" s="13"/>
      <c r="Q62" s="13" t="str">
        <f t="shared" si="32"/>
        <v>NJR2020REV</v>
      </c>
      <c r="R62" s="25">
        <f t="shared" si="33"/>
        <v>0.39614355096293197</v>
      </c>
      <c r="S62" s="25">
        <f t="shared" si="34"/>
        <v>0</v>
      </c>
      <c r="T62" s="25">
        <f t="shared" si="35"/>
        <v>0.94557205371415842</v>
      </c>
      <c r="U62" s="25">
        <f t="shared" ref="U62:V62" si="36">IF(OR(ISBLANK($R62),ISBLANK(S62)),"NA",$R62*S62)</f>
        <v>0</v>
      </c>
      <c r="V62" s="25">
        <f t="shared" si="36"/>
        <v>0.37458227104963898</v>
      </c>
      <c r="W62" s="25"/>
      <c r="X62" s="25"/>
    </row>
    <row r="63" spans="1:24" x14ac:dyDescent="0.4">
      <c r="A63" s="13"/>
      <c r="B63" s="11"/>
      <c r="C63" s="12"/>
      <c r="D63" s="13"/>
      <c r="E63" s="33"/>
      <c r="F63" s="35"/>
      <c r="G63" s="36"/>
      <c r="H63" s="36"/>
      <c r="I63" s="14"/>
      <c r="J63" s="14"/>
      <c r="K63" s="14"/>
      <c r="L63" s="14"/>
      <c r="M63" s="14"/>
      <c r="N63" s="13"/>
      <c r="O63" s="13"/>
      <c r="P63" s="13"/>
      <c r="Q63" s="13"/>
      <c r="R63" s="13"/>
      <c r="S63" s="13"/>
      <c r="T63" s="13"/>
      <c r="U63" s="13"/>
      <c r="V63" s="13"/>
      <c r="W63" s="13"/>
      <c r="X63" s="13"/>
    </row>
    <row r="64" spans="1:24" ht="14.4" x14ac:dyDescent="0.55000000000000004">
      <c r="A64" s="13"/>
      <c r="B64" s="11"/>
      <c r="C64" s="136">
        <v>2022</v>
      </c>
      <c r="D64" s="23">
        <f>SUM(E64:J64)</f>
        <v>401025</v>
      </c>
      <c r="E64" s="35">
        <v>218973</v>
      </c>
      <c r="F64" s="35">
        <v>66178</v>
      </c>
      <c r="G64" s="30">
        <v>95639</v>
      </c>
      <c r="H64" s="30">
        <v>22163</v>
      </c>
      <c r="I64" s="154">
        <f>-781+1059+824</f>
        <v>1102</v>
      </c>
      <c r="J64" s="18">
        <f>-72-21+0-1249-1688</f>
        <v>-3030</v>
      </c>
      <c r="K64" s="14"/>
      <c r="L64" s="14"/>
      <c r="M64" s="14"/>
      <c r="N64" s="13"/>
      <c r="O64" s="13"/>
      <c r="P64" s="13"/>
      <c r="Q64" s="13" t="str">
        <f>$A$59&amp;C64&amp;"INC"</f>
        <v>NJR2022INC</v>
      </c>
      <c r="R64" s="155">
        <f>SUM(E64,H64)/D64</f>
        <v>0.6012991708746338</v>
      </c>
      <c r="S64" s="25">
        <f>0/SUM(E64,H64)</f>
        <v>0</v>
      </c>
      <c r="T64" s="155">
        <f>E64/SUM(E64,H64)</f>
        <v>0.90808921106761331</v>
      </c>
      <c r="U64" s="25">
        <f>IF(OR(ISBLANK($R64),ISBLANK(S64)),"NA",$R64*S64)</f>
        <v>0</v>
      </c>
      <c r="V64" s="155">
        <f>IF(OR(ISBLANK($R64),ISBLANK(T64)),"NA",$R64*T64)</f>
        <v>0.54603328969515619</v>
      </c>
      <c r="W64" s="25"/>
      <c r="X64" s="25"/>
    </row>
    <row r="65" spans="1:24" ht="14.4" x14ac:dyDescent="0.55000000000000004">
      <c r="A65" s="13"/>
      <c r="B65" s="11" t="s">
        <v>109</v>
      </c>
      <c r="C65" s="12">
        <v>2021</v>
      </c>
      <c r="D65" s="23">
        <f>SUM(E65:J65)</f>
        <v>278125</v>
      </c>
      <c r="E65" s="35">
        <v>148993</v>
      </c>
      <c r="F65" s="35">
        <v>37993</v>
      </c>
      <c r="G65" s="147">
        <v>79163</v>
      </c>
      <c r="H65" s="147">
        <v>10659</v>
      </c>
      <c r="I65" s="154">
        <f>-826+-196+980</f>
        <v>-42</v>
      </c>
      <c r="J65" s="147">
        <f>3382+1052-935-2140</f>
        <v>1359</v>
      </c>
      <c r="K65" s="14"/>
      <c r="M65" s="14"/>
      <c r="N65" s="13"/>
      <c r="O65" s="13"/>
      <c r="P65" s="13"/>
      <c r="Q65" s="13" t="str">
        <f t="shared" ref="Q65:Q66" si="37">$A$59&amp;C65&amp;"INC"</f>
        <v>NJR2021INC</v>
      </c>
      <c r="R65" s="25">
        <f t="shared" ref="R65:R66" si="38">SUM(E65,H65)/D65</f>
        <v>0.57402966292134827</v>
      </c>
      <c r="S65" s="25">
        <f t="shared" ref="S65:S66" si="39">0/SUM(E65,H65)</f>
        <v>0</v>
      </c>
      <c r="T65" s="25">
        <f t="shared" ref="T65:T66" si="40">E65/SUM(E65,H65)</f>
        <v>0.93323603838348412</v>
      </c>
      <c r="U65" s="25">
        <f t="shared" ref="U65:V66" si="41">IF(OR(ISBLANK($R65),ISBLANK(S65)),"NA",$R65*S65)</f>
        <v>0</v>
      </c>
      <c r="V65" s="155">
        <f t="shared" si="41"/>
        <v>0.53570516853932582</v>
      </c>
      <c r="W65" s="25"/>
      <c r="X65" s="25"/>
    </row>
    <row r="66" spans="1:24" x14ac:dyDescent="0.4">
      <c r="A66" s="13"/>
      <c r="B66" s="11"/>
      <c r="C66" s="12">
        <v>2020</v>
      </c>
      <c r="D66" s="23">
        <f>SUM(E66:J66)</f>
        <v>228015</v>
      </c>
      <c r="E66" s="33">
        <v>173412</v>
      </c>
      <c r="F66" s="33">
        <v>46978</v>
      </c>
      <c r="G66" s="36">
        <v>-11651</v>
      </c>
      <c r="H66" s="36">
        <v>12451</v>
      </c>
      <c r="I66" s="38">
        <f>5784+-2478+1032</f>
        <v>4338</v>
      </c>
      <c r="J66" s="38">
        <v>2487</v>
      </c>
      <c r="K66" s="14"/>
      <c r="L66" s="14"/>
      <c r="M66" s="14"/>
      <c r="N66" s="13"/>
      <c r="O66" s="13"/>
      <c r="P66" s="13"/>
      <c r="Q66" s="13" t="str">
        <f t="shared" si="37"/>
        <v>NJR2020INC</v>
      </c>
      <c r="R66" s="25">
        <f t="shared" si="38"/>
        <v>0.81513496919062345</v>
      </c>
      <c r="S66" s="25">
        <f t="shared" si="39"/>
        <v>0</v>
      </c>
      <c r="T66" s="25">
        <f t="shared" si="40"/>
        <v>0.93300979753904756</v>
      </c>
      <c r="U66" s="25">
        <f t="shared" si="41"/>
        <v>0</v>
      </c>
      <c r="V66" s="155">
        <f t="shared" si="41"/>
        <v>0.76052891257154132</v>
      </c>
      <c r="W66" s="25"/>
      <c r="X66" s="25"/>
    </row>
    <row r="67" spans="1:24" x14ac:dyDescent="0.4">
      <c r="A67" s="13"/>
      <c r="B67" s="11"/>
      <c r="C67" s="12"/>
      <c r="D67" s="13"/>
      <c r="E67" s="37"/>
      <c r="F67" s="37"/>
      <c r="G67" s="37"/>
      <c r="H67" s="37"/>
      <c r="I67" s="14"/>
      <c r="J67" s="14"/>
      <c r="K67" s="14"/>
      <c r="L67" s="14"/>
      <c r="M67" s="14"/>
      <c r="N67" s="13"/>
      <c r="O67" s="13"/>
      <c r="P67" s="13"/>
      <c r="Q67" s="13"/>
      <c r="R67" s="13"/>
      <c r="S67" s="13"/>
      <c r="T67" s="13"/>
      <c r="U67" s="13"/>
      <c r="V67" s="13"/>
      <c r="W67" s="13"/>
      <c r="X67" s="13"/>
    </row>
    <row r="68" spans="1:24" x14ac:dyDescent="0.4">
      <c r="A68" s="13"/>
      <c r="B68" s="11"/>
      <c r="C68" s="136">
        <v>2022</v>
      </c>
      <c r="D68" s="23">
        <f>SUM(E68:J68)</f>
        <v>6261416</v>
      </c>
      <c r="E68" s="30">
        <v>4030686</v>
      </c>
      <c r="F68" s="30">
        <v>1015065</v>
      </c>
      <c r="G68" s="30">
        <v>333064</v>
      </c>
      <c r="H68" s="30">
        <v>999520</v>
      </c>
      <c r="I68" s="30">
        <v>159068</v>
      </c>
      <c r="J68" s="30">
        <v>-275987</v>
      </c>
      <c r="K68" s="14"/>
      <c r="L68" s="14"/>
      <c r="M68" s="14"/>
      <c r="N68" s="13"/>
      <c r="O68" s="13"/>
      <c r="P68" s="13"/>
      <c r="Q68" s="13" t="str">
        <f>$A$59&amp;C68&amp;"ASSETS"</f>
        <v>NJR2022ASSETS</v>
      </c>
      <c r="R68" s="25">
        <f>SUM(E68,H68)/D68</f>
        <v>0.80336556459433461</v>
      </c>
      <c r="S68" s="25">
        <f>0/SUM(E68,H68)</f>
        <v>0</v>
      </c>
      <c r="T68" s="25">
        <f>E68/SUM(E68,H68)</f>
        <v>0.80129640813914982</v>
      </c>
      <c r="U68" s="25">
        <f>IF(OR(ISBLANK($R68),ISBLANK(S68)),"NA",$R68*S68)</f>
        <v>0</v>
      </c>
      <c r="V68" s="25">
        <f>IF(OR(ISBLANK($R68),ISBLANK(T68)),"NA",$R68*T68)</f>
        <v>0.64373394133212047</v>
      </c>
      <c r="W68" s="25"/>
      <c r="X68" s="25"/>
    </row>
    <row r="69" spans="1:24" ht="14.4" x14ac:dyDescent="0.55000000000000004">
      <c r="A69" s="13"/>
      <c r="B69" s="11" t="s">
        <v>110</v>
      </c>
      <c r="C69" s="12">
        <v>2021</v>
      </c>
      <c r="D69" s="23">
        <f>SUM(E69:J69)</f>
        <v>5722278</v>
      </c>
      <c r="E69" s="147">
        <v>3707461</v>
      </c>
      <c r="F69" s="147">
        <v>914788</v>
      </c>
      <c r="G69" s="147">
        <v>365423</v>
      </c>
      <c r="H69" s="147">
        <v>862407</v>
      </c>
      <c r="I69" s="147">
        <v>162134</v>
      </c>
      <c r="J69" s="147">
        <v>-289935</v>
      </c>
      <c r="K69" s="14"/>
      <c r="L69" s="14"/>
      <c r="M69" s="14"/>
      <c r="N69" s="13"/>
      <c r="O69" s="13"/>
      <c r="P69" s="13"/>
      <c r="Q69" s="13" t="str">
        <f t="shared" ref="Q69:Q70" si="42">$A$59&amp;C69&amp;"ASSETS"</f>
        <v>NJR2021ASSETS</v>
      </c>
      <c r="R69" s="25">
        <f t="shared" ref="R69:R70" si="43">SUM(E69,H69)/D69</f>
        <v>0.79860992422947641</v>
      </c>
      <c r="S69" s="25">
        <f t="shared" ref="S69:S70" si="44">0/SUM(E69,H69)</f>
        <v>0</v>
      </c>
      <c r="T69" s="25">
        <f t="shared" ref="T69:T70" si="45">E69/SUM(E69,H69)</f>
        <v>0.81128404584114899</v>
      </c>
      <c r="U69" s="25">
        <f>IF(OR(ISBLANK($R69),ISBLANK(S69)),"NA",$R69*S69)</f>
        <v>0</v>
      </c>
      <c r="V69" s="25">
        <f>IF(OR(ISBLANK($R69),ISBLANK(T69)),"NA",$R69*T69)</f>
        <v>0.64789949037778305</v>
      </c>
      <c r="W69" s="25"/>
      <c r="X69" s="25"/>
    </row>
    <row r="70" spans="1:24" x14ac:dyDescent="0.4">
      <c r="A70" s="13"/>
      <c r="B70" s="13"/>
      <c r="C70" s="12">
        <v>2020</v>
      </c>
      <c r="D70" s="23">
        <f>SUM(E70:J70)</f>
        <v>5316477</v>
      </c>
      <c r="E70" s="32">
        <v>3531477</v>
      </c>
      <c r="F70" s="32">
        <v>814277</v>
      </c>
      <c r="G70" s="32">
        <v>244836</v>
      </c>
      <c r="H70" s="32">
        <v>844799</v>
      </c>
      <c r="I70" s="38">
        <v>138375</v>
      </c>
      <c r="J70" s="38">
        <v>-257287</v>
      </c>
      <c r="K70" s="14"/>
      <c r="L70" s="14"/>
      <c r="M70" s="14"/>
      <c r="N70" s="13"/>
      <c r="O70" s="13"/>
      <c r="P70" s="13"/>
      <c r="Q70" s="13" t="str">
        <f t="shared" si="42"/>
        <v>NJR2020ASSETS</v>
      </c>
      <c r="R70" s="25">
        <f t="shared" si="43"/>
        <v>0.82315337769729846</v>
      </c>
      <c r="S70" s="25">
        <f t="shared" si="44"/>
        <v>0</v>
      </c>
      <c r="T70" s="25">
        <f t="shared" si="45"/>
        <v>0.80695938738781559</v>
      </c>
      <c r="U70" s="25">
        <f t="shared" ref="U70:V70" si="46">IF(OR(ISBLANK($R70),ISBLANK(S70)),"NA",$R70*S70)</f>
        <v>0</v>
      </c>
      <c r="V70" s="25">
        <f t="shared" si="46"/>
        <v>0.66425134539282316</v>
      </c>
      <c r="W70" s="25"/>
      <c r="X70" s="25"/>
    </row>
    <row r="71" spans="1:24" x14ac:dyDescent="0.4">
      <c r="B71" s="137"/>
      <c r="E71" s="30"/>
      <c r="F71" s="30"/>
      <c r="G71" s="30"/>
      <c r="H71" s="30"/>
      <c r="I71" s="30"/>
      <c r="J71" s="30"/>
    </row>
    <row r="72" spans="1:24" x14ac:dyDescent="0.4">
      <c r="B72" s="137"/>
      <c r="E72" s="30"/>
      <c r="F72" s="30"/>
      <c r="G72" s="30"/>
      <c r="H72" s="30"/>
      <c r="I72" s="30"/>
      <c r="J72" s="30"/>
    </row>
    <row r="73" spans="1:24" x14ac:dyDescent="0.4">
      <c r="B73" s="137"/>
    </row>
    <row r="74" spans="1:24" x14ac:dyDescent="0.4">
      <c r="A74" s="10" t="s">
        <v>401</v>
      </c>
      <c r="B74" s="11"/>
      <c r="C74" s="12"/>
      <c r="D74" s="13"/>
      <c r="E74" s="14"/>
      <c r="F74" s="14"/>
      <c r="G74" s="14"/>
      <c r="H74" s="14"/>
      <c r="I74" s="14"/>
      <c r="J74" s="14"/>
      <c r="K74" s="39"/>
      <c r="L74" s="14"/>
      <c r="M74" s="14"/>
      <c r="N74" s="139"/>
      <c r="O74" s="13"/>
      <c r="P74" s="13"/>
      <c r="Q74" s="13"/>
      <c r="R74" s="13"/>
      <c r="S74" s="13"/>
      <c r="T74" s="13"/>
      <c r="U74" s="13"/>
      <c r="V74" s="13"/>
      <c r="W74" s="13"/>
      <c r="X74" s="13"/>
    </row>
    <row r="75" spans="1:24" x14ac:dyDescent="0.4">
      <c r="A75" s="13" t="s">
        <v>402</v>
      </c>
      <c r="B75" s="11"/>
      <c r="C75" s="12"/>
      <c r="D75" s="13"/>
      <c r="E75" s="14"/>
      <c r="F75" s="14"/>
      <c r="G75" s="14"/>
      <c r="H75" s="14"/>
      <c r="I75" s="14"/>
      <c r="J75" s="14"/>
      <c r="K75" s="39"/>
      <c r="L75" s="14"/>
      <c r="M75" s="14"/>
      <c r="N75" s="139"/>
      <c r="O75" s="13"/>
      <c r="P75" s="13"/>
      <c r="Q75" s="13"/>
      <c r="R75" s="13"/>
      <c r="S75" s="13"/>
      <c r="T75" s="13"/>
      <c r="U75" s="13"/>
      <c r="V75" s="13"/>
      <c r="W75" s="13"/>
      <c r="X75" s="13"/>
    </row>
    <row r="76" spans="1:24" ht="36.9" x14ac:dyDescent="0.4">
      <c r="A76" s="10" t="s">
        <v>403</v>
      </c>
      <c r="B76" s="11"/>
      <c r="C76" s="12" t="s">
        <v>127</v>
      </c>
      <c r="D76" s="12" t="s">
        <v>96</v>
      </c>
      <c r="E76" s="26" t="s">
        <v>404</v>
      </c>
      <c r="F76" s="26" t="s">
        <v>405</v>
      </c>
      <c r="G76" s="26" t="s">
        <v>100</v>
      </c>
      <c r="H76" s="40" t="s">
        <v>101</v>
      </c>
      <c r="I76" s="24"/>
      <c r="J76" s="14"/>
      <c r="K76" s="14"/>
      <c r="L76" s="14"/>
      <c r="M76" s="14"/>
      <c r="N76" s="13"/>
      <c r="O76" s="13"/>
      <c r="P76" s="13"/>
      <c r="Q76" s="20"/>
      <c r="R76" s="21" t="s">
        <v>102</v>
      </c>
      <c r="S76" s="21" t="s">
        <v>103</v>
      </c>
      <c r="T76" s="21" t="s">
        <v>104</v>
      </c>
      <c r="U76" s="21" t="s">
        <v>105</v>
      </c>
      <c r="V76" s="21" t="s">
        <v>106</v>
      </c>
      <c r="W76" s="22"/>
      <c r="X76" s="22"/>
    </row>
    <row r="77" spans="1:24" x14ac:dyDescent="0.4">
      <c r="A77" s="13"/>
      <c r="B77" s="11"/>
      <c r="C77" s="12">
        <v>2022</v>
      </c>
      <c r="D77" s="159">
        <f>SUM(E77:H77)</f>
        <v>5838100</v>
      </c>
      <c r="E77" s="30">
        <v>4019800</v>
      </c>
      <c r="F77" s="30">
        <v>1831700</v>
      </c>
      <c r="G77" s="144">
        <v>465000</v>
      </c>
      <c r="H77" s="30">
        <v>-478400</v>
      </c>
      <c r="I77" s="24"/>
      <c r="J77" s="14"/>
      <c r="K77" s="14"/>
      <c r="L77" s="14"/>
      <c r="M77" s="14"/>
      <c r="N77" s="13"/>
      <c r="O77" s="13"/>
      <c r="P77" s="13"/>
      <c r="Q77" s="13" t="str">
        <f>$A$76&amp;C77&amp;"REV"</f>
        <v>NI2022REV</v>
      </c>
      <c r="R77" s="25">
        <f>SUM(E77:F77)/D77</f>
        <v>1.0022952672958667</v>
      </c>
      <c r="S77" s="25">
        <f>F77/SUM(E77:F77)</f>
        <v>0.31303084679142101</v>
      </c>
      <c r="T77" s="25">
        <f>E77/SUM(E77:F77)</f>
        <v>0.68696915320857899</v>
      </c>
      <c r="U77" s="25">
        <f>IF(OR(ISBLANK($R77),ISBLANK(S77)),"NA",$R77*S77)</f>
        <v>0.31374933625665885</v>
      </c>
      <c r="V77" s="25">
        <f>IF(OR(ISBLANK($R77),ISBLANK(T77)),"NA",$R77*T77)</f>
        <v>0.68854593103920791</v>
      </c>
      <c r="W77" s="25"/>
      <c r="X77" s="25"/>
    </row>
    <row r="78" spans="1:24" ht="14.4" x14ac:dyDescent="0.55000000000000004">
      <c r="A78" s="13"/>
      <c r="B78" s="11" t="s">
        <v>107</v>
      </c>
      <c r="C78" s="12">
        <v>2021</v>
      </c>
      <c r="D78" s="159">
        <f>SUM(E78:H78)</f>
        <v>4867500</v>
      </c>
      <c r="E78" s="147">
        <v>3183500</v>
      </c>
      <c r="F78" s="147">
        <v>1697100</v>
      </c>
      <c r="G78" s="144">
        <v>460300</v>
      </c>
      <c r="H78" s="147">
        <v>-473400</v>
      </c>
      <c r="I78" s="24"/>
      <c r="J78" s="14"/>
      <c r="K78" s="14"/>
      <c r="L78" s="14"/>
      <c r="M78" s="14"/>
      <c r="N78" s="13"/>
      <c r="O78" s="13"/>
      <c r="P78" s="13"/>
      <c r="Q78" s="13" t="str">
        <f t="shared" ref="Q78:Q79" si="47">$A$76&amp;C78&amp;"REV"</f>
        <v>NI2021REV</v>
      </c>
      <c r="R78" s="25">
        <f t="shared" ref="R78:R79" si="48">SUM(E78:F78)/D78</f>
        <v>1.0026913199794556</v>
      </c>
      <c r="S78" s="25">
        <f t="shared" ref="S78:S79" si="49">F78/SUM(E78:F78)</f>
        <v>0.34772364053599969</v>
      </c>
      <c r="T78" s="25">
        <f t="shared" ref="T78:T79" si="50">E78/SUM(E78:F78)</f>
        <v>0.65227635946400031</v>
      </c>
      <c r="U78" s="25">
        <f t="shared" ref="U78:V79" si="51">IF(OR(ISBLANK($R78),ISBLANK(S78)),"NA",$R78*S78)</f>
        <v>0.34865947611710324</v>
      </c>
      <c r="V78" s="25">
        <f t="shared" si="51"/>
        <v>0.65403184386235236</v>
      </c>
      <c r="W78" s="25"/>
      <c r="X78" s="25"/>
    </row>
    <row r="79" spans="1:24" x14ac:dyDescent="0.4">
      <c r="A79" s="13"/>
      <c r="B79" s="11"/>
      <c r="C79" s="12">
        <v>2020</v>
      </c>
      <c r="D79" s="159">
        <f>SUM(E79:H79)</f>
        <v>4663900</v>
      </c>
      <c r="E79" s="27">
        <v>3140100</v>
      </c>
      <c r="F79" s="27">
        <v>1536600</v>
      </c>
      <c r="G79" s="27">
        <v>449800</v>
      </c>
      <c r="H79" s="83">
        <v>-462600</v>
      </c>
      <c r="I79" s="24"/>
      <c r="J79" s="14"/>
      <c r="K79" s="14"/>
      <c r="L79" s="14"/>
      <c r="M79" s="14"/>
      <c r="N79" s="13"/>
      <c r="O79" s="13"/>
      <c r="P79" s="13"/>
      <c r="Q79" s="13" t="str">
        <f t="shared" si="47"/>
        <v>NI2020REV</v>
      </c>
      <c r="R79" s="25">
        <f t="shared" si="48"/>
        <v>1.0027444842299362</v>
      </c>
      <c r="S79" s="25">
        <f t="shared" si="49"/>
        <v>0.32856501379177627</v>
      </c>
      <c r="T79" s="25">
        <f t="shared" si="50"/>
        <v>0.67143498620822373</v>
      </c>
      <c r="U79" s="25">
        <f t="shared" si="51"/>
        <v>0.32946675529063657</v>
      </c>
      <c r="V79" s="25">
        <f t="shared" si="51"/>
        <v>0.6732777289392996</v>
      </c>
      <c r="W79" s="25"/>
      <c r="X79" s="25"/>
    </row>
    <row r="80" spans="1:24" x14ac:dyDescent="0.4">
      <c r="A80" s="13"/>
      <c r="B80" s="11"/>
      <c r="C80" s="12"/>
      <c r="D80" s="159"/>
      <c r="E80" s="24"/>
      <c r="F80" s="24"/>
      <c r="G80" s="24"/>
      <c r="H80" s="24"/>
      <c r="I80" s="24"/>
      <c r="J80" s="14"/>
      <c r="K80" s="14"/>
      <c r="L80" s="14"/>
      <c r="M80" s="14"/>
      <c r="N80" s="13"/>
      <c r="O80" s="13"/>
      <c r="P80" s="13"/>
      <c r="Q80" s="13"/>
      <c r="R80" s="13"/>
      <c r="S80" s="13"/>
      <c r="T80" s="13"/>
      <c r="U80" s="13"/>
      <c r="V80" s="13"/>
      <c r="W80" s="13"/>
      <c r="X80" s="13"/>
    </row>
    <row r="81" spans="1:24" x14ac:dyDescent="0.4">
      <c r="A81" s="13"/>
      <c r="B81" s="11"/>
      <c r="C81" s="12">
        <v>2022</v>
      </c>
      <c r="D81" s="159">
        <f>SUM(E81:H81)</f>
        <v>1265800</v>
      </c>
      <c r="E81" s="30">
        <v>915800</v>
      </c>
      <c r="F81" s="30">
        <v>362400</v>
      </c>
      <c r="G81" s="30">
        <v>-12400</v>
      </c>
      <c r="H81" s="83" t="s">
        <v>108</v>
      </c>
      <c r="I81" s="24"/>
      <c r="J81" s="14"/>
      <c r="K81" s="14"/>
      <c r="L81" s="14"/>
      <c r="M81" s="14"/>
      <c r="N81" s="13"/>
      <c r="O81" s="13"/>
      <c r="P81" s="13"/>
      <c r="Q81" s="13" t="str">
        <f>$A$76&amp;C81&amp;"INC"</f>
        <v>NI2022INC</v>
      </c>
      <c r="R81" s="25">
        <f>IF(SUM(E81:F81)/D81&gt;100%, 100%, SUM(E81:F81)/D81)</f>
        <v>1</v>
      </c>
      <c r="S81" s="25">
        <f>F81/SUM(E81:F81)</f>
        <v>0.28352370521045223</v>
      </c>
      <c r="T81" s="25">
        <f>E81/SUM(E81:F81)</f>
        <v>0.71647629478954777</v>
      </c>
      <c r="U81" s="25">
        <f t="shared" ref="U81:V83" si="52">IF(OR(ISBLANK($R81),ISBLANK(S81)),"NA",$R81*S81)</f>
        <v>0.28352370521045223</v>
      </c>
      <c r="V81" s="155">
        <f t="shared" si="52"/>
        <v>0.71647629478954777</v>
      </c>
      <c r="W81" s="25"/>
      <c r="X81" s="25"/>
    </row>
    <row r="82" spans="1:24" ht="14.4" x14ac:dyDescent="0.55000000000000004">
      <c r="A82" s="13"/>
      <c r="B82" s="11" t="s">
        <v>109</v>
      </c>
      <c r="C82" s="12">
        <v>2021</v>
      </c>
      <c r="D82" s="159">
        <f>SUM(E82:H82)</f>
        <v>1013700</v>
      </c>
      <c r="E82" s="147">
        <f>617500+6800</f>
        <v>624300</v>
      </c>
      <c r="F82" s="147">
        <v>387800</v>
      </c>
      <c r="G82" s="147">
        <v>1600</v>
      </c>
      <c r="H82" s="83" t="s">
        <v>108</v>
      </c>
      <c r="I82" s="24"/>
      <c r="J82" s="14"/>
      <c r="K82" s="14"/>
      <c r="L82" s="14"/>
      <c r="M82" s="14"/>
      <c r="N82" s="13"/>
      <c r="O82" s="13"/>
      <c r="P82" s="13"/>
      <c r="Q82" s="13" t="str">
        <f t="shared" ref="Q82:Q83" si="53">$A$76&amp;C82&amp;"INC"</f>
        <v>NI2021INC</v>
      </c>
      <c r="R82" s="25">
        <f t="shared" ref="R82:R83" si="54">IF(SUM(E82:F82)/D82&gt;100%, 100%, SUM(E82:F82)/D82)</f>
        <v>0.99842162375456245</v>
      </c>
      <c r="S82" s="25">
        <f t="shared" ref="S82:S83" si="55">F82/SUM(E82:F82)</f>
        <v>0.38316371900009882</v>
      </c>
      <c r="T82" s="25">
        <f t="shared" ref="T82:T83" si="56">E82/SUM(E82:F82)</f>
        <v>0.61683628099990118</v>
      </c>
      <c r="U82" s="25">
        <f t="shared" si="52"/>
        <v>0.38255894248791555</v>
      </c>
      <c r="V82" s="155">
        <f t="shared" si="52"/>
        <v>0.61586268126664689</v>
      </c>
      <c r="W82" s="25"/>
      <c r="X82" s="25"/>
    </row>
    <row r="83" spans="1:24" x14ac:dyDescent="0.4">
      <c r="A83" s="13"/>
      <c r="B83" s="11"/>
      <c r="C83" s="12">
        <v>2020</v>
      </c>
      <c r="D83" s="159">
        <f>SUM(E83:H83)</f>
        <v>963200</v>
      </c>
      <c r="E83" s="29">
        <f>199100+412400</f>
        <v>611500</v>
      </c>
      <c r="F83" s="29">
        <v>348800</v>
      </c>
      <c r="G83" s="29">
        <f>2900+0</f>
        <v>2900</v>
      </c>
      <c r="H83" s="83" t="s">
        <v>108</v>
      </c>
      <c r="I83" s="24"/>
      <c r="J83" s="14"/>
      <c r="K83" s="14"/>
      <c r="L83" s="14"/>
      <c r="M83" s="14"/>
      <c r="N83" s="13"/>
      <c r="O83" s="13"/>
      <c r="P83" s="13"/>
      <c r="Q83" s="13" t="str">
        <f t="shared" si="53"/>
        <v>NI2020INC</v>
      </c>
      <c r="R83" s="25">
        <f t="shared" si="54"/>
        <v>0.99698920265780733</v>
      </c>
      <c r="S83" s="25">
        <f t="shared" si="55"/>
        <v>0.3632198271373529</v>
      </c>
      <c r="T83" s="25">
        <f t="shared" si="56"/>
        <v>0.6367801728626471</v>
      </c>
      <c r="U83" s="25">
        <f t="shared" si="52"/>
        <v>0.36212624584717606</v>
      </c>
      <c r="V83" s="155">
        <f t="shared" si="52"/>
        <v>0.63486295681063121</v>
      </c>
      <c r="W83" s="25"/>
      <c r="X83" s="25"/>
    </row>
    <row r="84" spans="1:24" x14ac:dyDescent="0.4">
      <c r="A84" s="13"/>
      <c r="B84" s="11"/>
      <c r="C84" s="12"/>
      <c r="D84" s="159"/>
      <c r="E84" s="24"/>
      <c r="F84" s="24"/>
      <c r="G84" s="24"/>
      <c r="H84" s="40"/>
      <c r="I84" s="24"/>
      <c r="J84" s="14"/>
      <c r="K84" s="14"/>
      <c r="L84" s="14"/>
      <c r="M84" s="14"/>
      <c r="N84" s="13"/>
      <c r="O84" s="13"/>
      <c r="P84" s="13"/>
      <c r="Q84" s="13"/>
      <c r="R84" s="13"/>
      <c r="S84" s="13"/>
      <c r="T84" s="13"/>
      <c r="U84" s="13"/>
      <c r="V84" s="13"/>
      <c r="W84" s="13"/>
      <c r="X84" s="13"/>
    </row>
    <row r="85" spans="1:24" x14ac:dyDescent="0.4">
      <c r="A85" s="13"/>
      <c r="B85" s="11"/>
      <c r="C85" s="12">
        <v>2022</v>
      </c>
      <c r="D85" s="159">
        <f>SUM(E85:H85)</f>
        <v>26736600</v>
      </c>
      <c r="E85" s="30">
        <v>16986500</v>
      </c>
      <c r="F85" s="30">
        <v>7992600</v>
      </c>
      <c r="G85" s="144">
        <v>1757500</v>
      </c>
      <c r="H85" s="83"/>
      <c r="I85" s="24"/>
      <c r="J85" s="14"/>
      <c r="K85" s="14"/>
      <c r="L85" s="14"/>
      <c r="M85" s="14"/>
      <c r="N85" s="13"/>
      <c r="O85" s="13"/>
      <c r="P85" s="13"/>
      <c r="Q85" s="13" t="str">
        <f>$A$76&amp;C85&amp;"ASSETS"</f>
        <v>NI2022ASSETS</v>
      </c>
      <c r="R85" s="25">
        <f>SUM(E85:F85)/D85</f>
        <v>0.93426613705557171</v>
      </c>
      <c r="S85" s="25">
        <f>F85/SUM(E85:F85)</f>
        <v>0.31997149617079879</v>
      </c>
      <c r="T85" s="25">
        <f>E85/SUM(E85:F85)</f>
        <v>0.68002850382920121</v>
      </c>
      <c r="U85" s="25">
        <f>IF(OR(ISBLANK($R85),ISBLANK(S85)),"NA",$R85*S85)</f>
        <v>0.29893853369538381</v>
      </c>
      <c r="V85" s="25">
        <f>IF(OR(ISBLANK($R85),ISBLANK(T85)),"NA",$R85*T85)</f>
        <v>0.6353276033601879</v>
      </c>
      <c r="W85" s="25"/>
      <c r="X85" s="25"/>
    </row>
    <row r="86" spans="1:24" ht="14.4" x14ac:dyDescent="0.55000000000000004">
      <c r="A86" s="13"/>
      <c r="B86" s="11" t="s">
        <v>110</v>
      </c>
      <c r="C86" s="12">
        <v>2021</v>
      </c>
      <c r="D86" s="159">
        <f>SUM(E86:H86)</f>
        <v>24156900</v>
      </c>
      <c r="E86" s="147">
        <v>15153700</v>
      </c>
      <c r="F86" s="147">
        <v>7178900</v>
      </c>
      <c r="G86" s="144">
        <v>1824300</v>
      </c>
      <c r="H86" s="83" t="s">
        <v>108</v>
      </c>
      <c r="I86" s="24"/>
      <c r="J86" s="14"/>
      <c r="K86" s="14"/>
      <c r="L86" s="14"/>
      <c r="M86" s="14"/>
      <c r="N86" s="13"/>
      <c r="O86" s="13"/>
      <c r="P86" s="13"/>
      <c r="Q86" s="13" t="str">
        <f t="shared" ref="Q86:Q87" si="57">$A$76&amp;C86&amp;"ASSETS"</f>
        <v>NI2021ASSETS</v>
      </c>
      <c r="R86" s="25">
        <f t="shared" ref="R86:R87" si="58">SUM(E86:F86)/D86</f>
        <v>0.92448120412801316</v>
      </c>
      <c r="S86" s="25">
        <f t="shared" ref="S86:S87" si="59">F86/SUM(E86:F86)</f>
        <v>0.32145383878276601</v>
      </c>
      <c r="T86" s="25">
        <f t="shared" ref="T86:T87" si="60">E86/SUM(E86:F86)</f>
        <v>0.67854616121723399</v>
      </c>
      <c r="U86" s="25">
        <f>IF(OR(ISBLANK($R86),ISBLANK(S86)),"NA",$R86*S86)</f>
        <v>0.29717803194946374</v>
      </c>
      <c r="V86" s="25">
        <f>IF(OR(ISBLANK($R86),ISBLANK(T86)),"NA",$R86*T86)</f>
        <v>0.62730317217854947</v>
      </c>
      <c r="W86" s="25"/>
      <c r="X86" s="25"/>
    </row>
    <row r="87" spans="1:24" x14ac:dyDescent="0.4">
      <c r="A87" s="13"/>
      <c r="B87" s="13"/>
      <c r="C87" s="12">
        <v>2020</v>
      </c>
      <c r="D87" s="159">
        <f>SUM(E87:H87)</f>
        <v>22040400</v>
      </c>
      <c r="E87" s="29">
        <v>13433000</v>
      </c>
      <c r="F87" s="29">
        <v>6443000</v>
      </c>
      <c r="G87" s="29">
        <v>2164400</v>
      </c>
      <c r="H87" s="83" t="s">
        <v>108</v>
      </c>
      <c r="I87" s="24"/>
      <c r="J87" s="14"/>
      <c r="K87" s="14"/>
      <c r="L87" s="14"/>
      <c r="M87" s="14"/>
      <c r="N87" s="13"/>
      <c r="O87" s="13"/>
      <c r="P87" s="13"/>
      <c r="Q87" s="13" t="str">
        <f t="shared" si="57"/>
        <v>NI2020ASSETS</v>
      </c>
      <c r="R87" s="25">
        <f t="shared" si="58"/>
        <v>0.90179851545344003</v>
      </c>
      <c r="S87" s="25">
        <f t="shared" si="59"/>
        <v>0.32415979070235462</v>
      </c>
      <c r="T87" s="25">
        <f t="shared" si="60"/>
        <v>0.67584020929764543</v>
      </c>
      <c r="U87" s="25">
        <f t="shared" ref="U87:V87" si="61">IF(OR(ISBLANK($R87),ISBLANK(S87)),"NA",$R87*S87)</f>
        <v>0.2923268180250812</v>
      </c>
      <c r="V87" s="25">
        <f t="shared" si="61"/>
        <v>0.60947169742835883</v>
      </c>
      <c r="W87" s="25"/>
      <c r="X87" s="25"/>
    </row>
    <row r="88" spans="1:24" x14ac:dyDescent="0.4">
      <c r="B88" s="137"/>
    </row>
    <row r="89" spans="1:24" x14ac:dyDescent="0.4">
      <c r="B89" s="137"/>
    </row>
    <row r="90" spans="1:24" x14ac:dyDescent="0.4">
      <c r="B90" s="137"/>
    </row>
    <row r="91" spans="1:24" x14ac:dyDescent="0.4">
      <c r="A91" s="10" t="s">
        <v>406</v>
      </c>
      <c r="B91" s="11"/>
      <c r="C91" s="12"/>
      <c r="D91" s="13"/>
      <c r="E91" s="14"/>
      <c r="F91" s="14"/>
      <c r="G91" s="14"/>
      <c r="H91" s="14"/>
      <c r="I91" s="14"/>
      <c r="J91" s="14"/>
      <c r="K91" s="14"/>
      <c r="L91" s="14"/>
      <c r="M91" s="14"/>
      <c r="N91" s="139"/>
      <c r="O91" s="13"/>
      <c r="P91" s="13"/>
      <c r="Q91" s="13"/>
      <c r="R91" s="13"/>
      <c r="S91" s="13"/>
      <c r="T91" s="13"/>
      <c r="U91" s="13"/>
      <c r="V91" s="13"/>
      <c r="W91" s="13"/>
      <c r="X91" s="13"/>
    </row>
    <row r="92" spans="1:24" x14ac:dyDescent="0.4">
      <c r="A92" s="15" t="s">
        <v>407</v>
      </c>
      <c r="B92" s="11"/>
      <c r="C92" s="12"/>
      <c r="D92" s="13"/>
      <c r="E92" s="14"/>
      <c r="F92" s="14"/>
      <c r="G92" s="14"/>
      <c r="H92" s="14"/>
      <c r="I92" s="14"/>
      <c r="J92" s="14"/>
      <c r="K92" s="14"/>
      <c r="L92" s="14"/>
      <c r="M92" s="14"/>
      <c r="N92" s="139"/>
      <c r="O92" s="13"/>
      <c r="P92" s="13"/>
      <c r="Q92" s="13"/>
      <c r="R92" s="13"/>
      <c r="S92" s="13"/>
      <c r="T92" s="13"/>
      <c r="U92" s="13"/>
      <c r="V92" s="13"/>
      <c r="W92" s="13"/>
      <c r="X92" s="13"/>
    </row>
    <row r="93" spans="1:24" ht="36.9" x14ac:dyDescent="0.4">
      <c r="A93" s="10" t="s">
        <v>408</v>
      </c>
      <c r="B93" s="11"/>
      <c r="C93" s="12" t="s">
        <v>127</v>
      </c>
      <c r="D93" s="22" t="s">
        <v>96</v>
      </c>
      <c r="E93" s="41" t="s">
        <v>175</v>
      </c>
      <c r="F93" s="42" t="s">
        <v>409</v>
      </c>
      <c r="G93" s="41" t="s">
        <v>410</v>
      </c>
      <c r="H93" s="41"/>
      <c r="I93" s="14"/>
      <c r="J93" s="14"/>
      <c r="K93" s="14"/>
      <c r="L93" s="14"/>
      <c r="M93" s="14"/>
      <c r="N93" s="13"/>
      <c r="O93" s="13"/>
      <c r="P93" s="13"/>
      <c r="Q93" s="20"/>
      <c r="R93" s="21" t="s">
        <v>102</v>
      </c>
      <c r="S93" s="21" t="s">
        <v>103</v>
      </c>
      <c r="T93" s="21" t="s">
        <v>104</v>
      </c>
      <c r="U93" s="21" t="s">
        <v>105</v>
      </c>
      <c r="V93" s="21" t="s">
        <v>106</v>
      </c>
      <c r="W93" s="22"/>
      <c r="X93" s="22"/>
    </row>
    <row r="94" spans="1:24" x14ac:dyDescent="0.4">
      <c r="A94" s="13"/>
      <c r="B94" s="11"/>
      <c r="C94" s="12">
        <v>2022</v>
      </c>
      <c r="D94" s="160">
        <f>SUM(E94:G94)</f>
        <v>1037353</v>
      </c>
      <c r="E94" s="30">
        <v>989752</v>
      </c>
      <c r="F94" s="144">
        <v>24587</v>
      </c>
      <c r="G94" s="144">
        <v>23014</v>
      </c>
      <c r="H94" s="161"/>
      <c r="I94" s="14"/>
      <c r="J94" s="14"/>
      <c r="K94" s="14"/>
      <c r="L94" s="14"/>
      <c r="M94" s="14"/>
      <c r="N94" s="13"/>
      <c r="O94" s="13"/>
      <c r="P94" s="13"/>
      <c r="Q94" s="13" t="str">
        <f>$A$93&amp;C94&amp;"REV"</f>
        <v>NWN2022REV</v>
      </c>
      <c r="R94" s="162">
        <f>SUM(E94:F94)/D94</f>
        <v>0.97781468796060744</v>
      </c>
      <c r="S94" s="162">
        <v>0</v>
      </c>
      <c r="T94" s="162">
        <f>E94/SUM(E94:F94)</f>
        <v>0.97576056919826604</v>
      </c>
      <c r="U94" s="162">
        <v>0</v>
      </c>
      <c r="V94" s="162">
        <f>IF(OR(ISBLANK($R94),ISBLANK(T94)),"NA",$R94*T94)</f>
        <v>0.95411301649486724</v>
      </c>
      <c r="W94" s="162"/>
      <c r="X94" s="162"/>
    </row>
    <row r="95" spans="1:24" ht="14.4" x14ac:dyDescent="0.55000000000000004">
      <c r="A95" s="13"/>
      <c r="B95" s="11" t="s">
        <v>107</v>
      </c>
      <c r="C95" s="12">
        <v>2021</v>
      </c>
      <c r="D95" s="160">
        <f>SUM(E95:G95)</f>
        <v>860400</v>
      </c>
      <c r="E95" s="147">
        <v>816887</v>
      </c>
      <c r="F95" s="144">
        <v>26170</v>
      </c>
      <c r="G95" s="144">
        <v>17343</v>
      </c>
      <c r="H95" s="14"/>
      <c r="I95" s="14"/>
      <c r="J95" s="13"/>
      <c r="K95" s="13"/>
      <c r="L95" s="13"/>
      <c r="M95" s="13"/>
      <c r="N95" s="25"/>
      <c r="O95" s="25"/>
      <c r="P95" s="25"/>
      <c r="Q95" s="13" t="str">
        <f t="shared" ref="Q95:Q96" si="62">$A$93&amp;C95&amp;"REV"</f>
        <v>NWN2021REV</v>
      </c>
      <c r="R95" s="162">
        <f t="shared" ref="R95:R96" si="63">SUM(E95:F95)/D95</f>
        <v>0.97984309623430965</v>
      </c>
      <c r="S95" s="162">
        <v>0</v>
      </c>
      <c r="T95" s="162">
        <f t="shared" ref="T95:T96" si="64">E95/SUM(E95:F95)</f>
        <v>0.96895820804524491</v>
      </c>
      <c r="U95" s="162">
        <v>0</v>
      </c>
      <c r="V95" s="162">
        <f t="shared" ref="V95:V104" si="65">IF(OR(ISBLANK($R95),ISBLANK(T95)),"NA",$R95*T95)</f>
        <v>0.94942701069270119</v>
      </c>
      <c r="W95" s="162"/>
      <c r="X95" s="162"/>
    </row>
    <row r="96" spans="1:24" x14ac:dyDescent="0.4">
      <c r="A96" s="13"/>
      <c r="B96" s="11"/>
      <c r="C96" s="12">
        <v>2020</v>
      </c>
      <c r="D96" s="160">
        <f>SUM(E96:G96)</f>
        <v>773679</v>
      </c>
      <c r="E96" s="163">
        <v>741072</v>
      </c>
      <c r="F96" s="30">
        <v>17676</v>
      </c>
      <c r="G96" s="163">
        <v>14931</v>
      </c>
      <c r="H96" s="14"/>
      <c r="I96" s="14"/>
      <c r="J96" s="13"/>
      <c r="K96" s="13"/>
      <c r="L96" s="13"/>
      <c r="M96" s="13"/>
      <c r="N96" s="13"/>
      <c r="O96" s="13"/>
      <c r="P96" s="13"/>
      <c r="Q96" s="13" t="str">
        <f t="shared" si="62"/>
        <v>NWN2020REV</v>
      </c>
      <c r="R96" s="162">
        <f t="shared" si="63"/>
        <v>0.98070129860058242</v>
      </c>
      <c r="S96" s="162">
        <v>0</v>
      </c>
      <c r="T96" s="162">
        <f t="shared" si="64"/>
        <v>0.97670372771987535</v>
      </c>
      <c r="U96" s="162">
        <v>0</v>
      </c>
      <c r="V96" s="162">
        <f t="shared" si="65"/>
        <v>0.9578546141229114</v>
      </c>
      <c r="W96" s="162"/>
      <c r="X96" s="162"/>
    </row>
    <row r="97" spans="1:24" x14ac:dyDescent="0.4">
      <c r="A97" s="13"/>
      <c r="B97" s="11"/>
      <c r="C97" s="12"/>
      <c r="D97" s="160"/>
      <c r="E97" s="164"/>
      <c r="F97" s="30"/>
      <c r="G97" s="164"/>
      <c r="H97" s="44"/>
      <c r="I97" s="14"/>
      <c r="J97" s="14"/>
      <c r="K97" s="14"/>
      <c r="L97" s="14"/>
      <c r="M97" s="14"/>
      <c r="N97" s="13"/>
      <c r="O97" s="13"/>
      <c r="P97" s="13"/>
      <c r="Q97" s="13"/>
      <c r="R97" s="162"/>
      <c r="S97" s="162"/>
      <c r="T97" s="162"/>
      <c r="U97" s="162"/>
      <c r="V97" s="162"/>
      <c r="W97" s="162"/>
      <c r="X97" s="162"/>
    </row>
    <row r="98" spans="1:24" x14ac:dyDescent="0.4">
      <c r="A98" s="13"/>
      <c r="B98" s="11"/>
      <c r="C98" s="12">
        <v>2022</v>
      </c>
      <c r="D98" s="160">
        <f>SUM(E98:G98)</f>
        <v>167477</v>
      </c>
      <c r="E98" s="144">
        <v>152839</v>
      </c>
      <c r="F98" s="30">
        <v>16535</v>
      </c>
      <c r="G98" s="30">
        <v>-1897</v>
      </c>
      <c r="H98" s="44"/>
      <c r="I98" s="14"/>
      <c r="J98" s="14"/>
      <c r="K98" s="14"/>
      <c r="L98" s="14"/>
      <c r="M98" s="14"/>
      <c r="N98" s="13"/>
      <c r="O98" s="13"/>
      <c r="P98" s="13"/>
      <c r="Q98" s="13" t="str">
        <f>$A$93&amp;C98&amp;"INC"</f>
        <v>NWN2022INC</v>
      </c>
      <c r="R98" s="162">
        <f>IF(SUM(E98:F98)/D98&gt;100%,100%,(SUM(E98:F98)/D98))</f>
        <v>1</v>
      </c>
      <c r="S98" s="162">
        <v>0</v>
      </c>
      <c r="T98" s="165">
        <f>E98/SUM(E98:F98)</f>
        <v>0.90237580738484069</v>
      </c>
      <c r="U98" s="162">
        <v>0</v>
      </c>
      <c r="V98" s="162">
        <f t="shared" si="65"/>
        <v>0.90237580738484069</v>
      </c>
      <c r="W98" s="162"/>
      <c r="X98" s="162"/>
    </row>
    <row r="99" spans="1:24" ht="14.4" x14ac:dyDescent="0.55000000000000004">
      <c r="A99" s="13"/>
      <c r="B99" s="11" t="s">
        <v>109</v>
      </c>
      <c r="C99" s="12">
        <v>2021</v>
      </c>
      <c r="D99" s="160">
        <f>SUM(E99:G99)</f>
        <v>163117</v>
      </c>
      <c r="E99" s="144">
        <v>147902</v>
      </c>
      <c r="F99" s="147">
        <v>17331</v>
      </c>
      <c r="G99" s="147">
        <v>-2116</v>
      </c>
      <c r="H99" s="44"/>
      <c r="I99" s="14"/>
      <c r="J99" s="14"/>
      <c r="K99" s="14"/>
      <c r="L99" s="14"/>
      <c r="M99" s="14"/>
      <c r="N99" s="13"/>
      <c r="O99" s="13"/>
      <c r="P99" s="13"/>
      <c r="Q99" s="13" t="str">
        <f t="shared" ref="Q99:Q100" si="66">$A$93&amp;C99&amp;"INC"</f>
        <v>NWN2021INC</v>
      </c>
      <c r="R99" s="162">
        <f t="shared" ref="R99:R100" si="67">IF(SUM(E99:F99)/D99&gt;100%,100%,(SUM(E99:F99)/D99))</f>
        <v>1</v>
      </c>
      <c r="S99" s="162">
        <v>0</v>
      </c>
      <c r="T99" s="162">
        <f t="shared" ref="T99:T100" si="68">E99/SUM(E99:F99)</f>
        <v>0.89511175128454967</v>
      </c>
      <c r="U99" s="162">
        <v>0</v>
      </c>
      <c r="V99" s="162">
        <f t="shared" si="65"/>
        <v>0.89511175128454967</v>
      </c>
      <c r="W99" s="162"/>
      <c r="X99" s="162"/>
    </row>
    <row r="100" spans="1:24" x14ac:dyDescent="0.4">
      <c r="A100" s="13"/>
      <c r="B100" s="11"/>
      <c r="C100" s="12">
        <v>2020</v>
      </c>
      <c r="D100" s="160">
        <f>SUM(E100:G100)</f>
        <v>148351</v>
      </c>
      <c r="E100" s="164">
        <v>137724</v>
      </c>
      <c r="F100" s="30">
        <v>9916</v>
      </c>
      <c r="G100" s="164">
        <v>711</v>
      </c>
      <c r="H100" s="44"/>
      <c r="I100" s="14"/>
      <c r="J100" s="14"/>
      <c r="K100" s="14"/>
      <c r="L100" s="14"/>
      <c r="M100" s="14"/>
      <c r="N100" s="13"/>
      <c r="O100" s="13"/>
      <c r="P100" s="13"/>
      <c r="Q100" s="13" t="str">
        <f t="shared" si="66"/>
        <v>NWN2020INC</v>
      </c>
      <c r="R100" s="162">
        <f t="shared" si="67"/>
        <v>0.99520731238751337</v>
      </c>
      <c r="S100" s="162">
        <v>0</v>
      </c>
      <c r="T100" s="162">
        <f t="shared" si="68"/>
        <v>0.93283662963966407</v>
      </c>
      <c r="U100" s="162">
        <v>0</v>
      </c>
      <c r="V100" s="162">
        <f t="shared" si="65"/>
        <v>0.92836583508031623</v>
      </c>
      <c r="W100" s="162"/>
      <c r="X100" s="162"/>
    </row>
    <row r="101" spans="1:24" x14ac:dyDescent="0.4">
      <c r="A101" s="13"/>
      <c r="B101" s="11"/>
      <c r="C101" s="12"/>
      <c r="D101" s="160"/>
      <c r="E101" s="164"/>
      <c r="F101" s="30"/>
      <c r="G101" s="164"/>
      <c r="H101" s="44"/>
      <c r="I101" s="14"/>
      <c r="J101" s="14"/>
      <c r="K101" s="14"/>
      <c r="L101" s="14"/>
      <c r="M101" s="14"/>
      <c r="N101" s="13"/>
      <c r="O101" s="13"/>
      <c r="P101" s="13"/>
      <c r="Q101" s="13"/>
      <c r="R101" s="162"/>
      <c r="S101" s="162"/>
      <c r="T101" s="162"/>
      <c r="U101" s="162"/>
      <c r="V101" s="162"/>
      <c r="W101" s="162"/>
      <c r="X101" s="162"/>
    </row>
    <row r="102" spans="1:24" x14ac:dyDescent="0.4">
      <c r="A102" s="13"/>
      <c r="B102" s="11"/>
      <c r="C102" s="12">
        <v>2022</v>
      </c>
      <c r="D102" s="160">
        <f>SUM(E102:G102)</f>
        <v>4748326</v>
      </c>
      <c r="E102" s="30">
        <v>4392699</v>
      </c>
      <c r="F102" s="30">
        <v>60019</v>
      </c>
      <c r="G102" s="30">
        <v>295608</v>
      </c>
      <c r="H102" s="44"/>
      <c r="I102" s="14"/>
      <c r="J102" s="14"/>
      <c r="K102" s="14"/>
      <c r="L102" s="14"/>
      <c r="M102" s="14"/>
      <c r="N102" s="13"/>
      <c r="O102" s="13"/>
      <c r="P102" s="13"/>
      <c r="Q102" s="13" t="str">
        <f>$A$93&amp;C102&amp;"ASSETS"</f>
        <v>NWN2022ASSETS</v>
      </c>
      <c r="R102" s="162">
        <f>SUM(E102:F102)/D102</f>
        <v>0.93774479679786094</v>
      </c>
      <c r="S102" s="162">
        <v>0</v>
      </c>
      <c r="T102" s="162">
        <f>E102/SUM(E102:F102)</f>
        <v>0.98652081717279194</v>
      </c>
      <c r="U102" s="162">
        <v>0</v>
      </c>
      <c r="V102" s="162">
        <f t="shared" si="65"/>
        <v>0.92510476323655955</v>
      </c>
      <c r="W102" s="162"/>
      <c r="X102" s="162"/>
    </row>
    <row r="103" spans="1:24" ht="14.4" x14ac:dyDescent="0.55000000000000004">
      <c r="A103" s="13"/>
      <c r="B103" s="11" t="s">
        <v>110</v>
      </c>
      <c r="C103" s="12">
        <v>2021</v>
      </c>
      <c r="D103" s="160">
        <f>SUM(E103:G103)</f>
        <v>4064604</v>
      </c>
      <c r="E103" s="147">
        <v>3846112</v>
      </c>
      <c r="F103" s="147">
        <v>52260</v>
      </c>
      <c r="G103" s="147">
        <v>166232</v>
      </c>
      <c r="H103" s="44"/>
      <c r="I103" s="14"/>
      <c r="J103" s="14"/>
      <c r="K103" s="14"/>
      <c r="L103" s="14"/>
      <c r="M103" s="14"/>
      <c r="N103" s="13"/>
      <c r="O103" s="13"/>
      <c r="P103" s="13"/>
      <c r="Q103" s="13" t="str">
        <f t="shared" ref="Q103:Q104" si="69">$A$93&amp;C103&amp;"ASSETS"</f>
        <v>NWN2021ASSETS</v>
      </c>
      <c r="R103" s="162">
        <f t="shared" ref="R103:R104" si="70">SUM(E103:F103)/D103</f>
        <v>0.95910253495789499</v>
      </c>
      <c r="S103" s="162">
        <v>0</v>
      </c>
      <c r="T103" s="162">
        <f t="shared" ref="T103:T104" si="71">E103/SUM(E103:F103)</f>
        <v>0.98659440402301268</v>
      </c>
      <c r="U103" s="162">
        <v>0</v>
      </c>
      <c r="V103" s="162">
        <f t="shared" si="65"/>
        <v>0.94624519387374506</v>
      </c>
      <c r="W103" s="162"/>
      <c r="X103" s="162"/>
    </row>
    <row r="104" spans="1:24" x14ac:dyDescent="0.4">
      <c r="A104" s="13"/>
      <c r="B104" s="13"/>
      <c r="C104" s="12">
        <v>2020</v>
      </c>
      <c r="D104" s="160">
        <f>SUM(E104:G104)</f>
        <v>3756379</v>
      </c>
      <c r="E104" s="164">
        <v>3549868</v>
      </c>
      <c r="F104" s="30">
        <v>49468</v>
      </c>
      <c r="G104" s="164">
        <v>157043</v>
      </c>
      <c r="H104" s="44"/>
      <c r="I104" s="14"/>
      <c r="J104" s="14"/>
      <c r="K104" s="14"/>
      <c r="L104" s="14"/>
      <c r="M104" s="14"/>
      <c r="N104" s="13"/>
      <c r="O104" s="13"/>
      <c r="P104" s="13"/>
      <c r="Q104" s="13" t="str">
        <f t="shared" si="69"/>
        <v>NWN2020ASSETS</v>
      </c>
      <c r="R104" s="162">
        <f t="shared" si="70"/>
        <v>0.95819298318939594</v>
      </c>
      <c r="S104" s="162">
        <v>0</v>
      </c>
      <c r="T104" s="162">
        <f t="shared" si="71"/>
        <v>0.98625635394972855</v>
      </c>
      <c r="U104" s="162">
        <v>0</v>
      </c>
      <c r="V104" s="162">
        <f t="shared" si="65"/>
        <v>0.94502391798058716</v>
      </c>
      <c r="W104" s="162"/>
      <c r="X104" s="162"/>
    </row>
    <row r="105" spans="1:24" x14ac:dyDescent="0.4">
      <c r="B105" s="137"/>
    </row>
    <row r="108" spans="1:24" x14ac:dyDescent="0.4">
      <c r="A108" s="10" t="s">
        <v>411</v>
      </c>
      <c r="B108" s="13"/>
      <c r="C108" s="12"/>
      <c r="D108" s="13"/>
      <c r="E108" s="14"/>
      <c r="F108" s="14"/>
      <c r="G108" s="14"/>
      <c r="H108" s="14"/>
      <c r="I108" s="14"/>
      <c r="J108" s="14"/>
      <c r="K108" s="14"/>
      <c r="L108" s="14"/>
      <c r="M108" s="14"/>
      <c r="N108" s="13"/>
      <c r="O108" s="13"/>
      <c r="P108" s="13"/>
      <c r="Q108" s="13"/>
      <c r="R108" s="13"/>
      <c r="S108" s="13"/>
      <c r="T108" s="13"/>
      <c r="U108" s="13"/>
      <c r="V108" s="13"/>
      <c r="W108" s="13"/>
      <c r="X108" s="13"/>
    </row>
    <row r="109" spans="1:24" x14ac:dyDescent="0.4">
      <c r="A109" s="13" t="s">
        <v>412</v>
      </c>
      <c r="B109" s="13"/>
      <c r="C109" s="12"/>
      <c r="D109" s="13"/>
      <c r="E109" s="14"/>
      <c r="F109" s="14"/>
      <c r="G109" s="14"/>
      <c r="H109" s="14"/>
      <c r="I109" s="14"/>
      <c r="J109" s="14"/>
      <c r="K109" s="14"/>
      <c r="L109" s="14"/>
      <c r="M109" s="14"/>
      <c r="N109" s="13"/>
      <c r="O109" s="13"/>
      <c r="P109" s="13"/>
      <c r="Q109" s="13"/>
      <c r="R109" s="13"/>
      <c r="S109" s="13"/>
      <c r="T109" s="13"/>
      <c r="U109" s="13"/>
      <c r="V109" s="13"/>
      <c r="W109" s="13"/>
      <c r="X109" s="13"/>
    </row>
    <row r="110" spans="1:24" ht="36.9" x14ac:dyDescent="0.4">
      <c r="A110" s="10" t="s">
        <v>413</v>
      </c>
      <c r="B110" s="13"/>
      <c r="C110" s="12" t="s">
        <v>127</v>
      </c>
      <c r="D110" s="13" t="s">
        <v>96</v>
      </c>
      <c r="E110" s="16" t="s">
        <v>414</v>
      </c>
      <c r="F110" s="14"/>
      <c r="G110" s="14"/>
      <c r="H110" s="14"/>
      <c r="I110" s="14"/>
      <c r="J110" s="14"/>
      <c r="K110" s="14"/>
      <c r="L110" s="14"/>
      <c r="M110" s="14"/>
      <c r="N110" s="13"/>
      <c r="O110" s="13"/>
      <c r="P110" s="13"/>
      <c r="Q110" s="20"/>
      <c r="R110" s="21" t="s">
        <v>102</v>
      </c>
      <c r="S110" s="21" t="s">
        <v>103</v>
      </c>
      <c r="T110" s="21" t="s">
        <v>104</v>
      </c>
      <c r="U110" s="21" t="s">
        <v>105</v>
      </c>
      <c r="V110" s="21" t="s">
        <v>106</v>
      </c>
      <c r="W110" s="22"/>
      <c r="X110" s="22"/>
    </row>
    <row r="111" spans="1:24" x14ac:dyDescent="0.4">
      <c r="A111" s="13"/>
      <c r="B111" s="13"/>
      <c r="C111" s="12">
        <v>2022</v>
      </c>
      <c r="D111" s="45">
        <f>E111</f>
        <v>2578005</v>
      </c>
      <c r="E111" s="30">
        <v>2578005</v>
      </c>
      <c r="F111" s="14"/>
      <c r="G111" s="14"/>
      <c r="H111" s="14"/>
      <c r="I111" s="14"/>
      <c r="J111" s="14"/>
      <c r="K111" s="14"/>
      <c r="L111" s="14"/>
      <c r="M111" s="14"/>
      <c r="N111" s="13"/>
      <c r="O111" s="13"/>
      <c r="P111" s="13"/>
      <c r="Q111" s="13" t="str">
        <f>$A$110&amp;C111&amp;"REV"</f>
        <v>OGS2022REV</v>
      </c>
      <c r="R111" s="25">
        <f>SUM(E111:F111)/D111</f>
        <v>1</v>
      </c>
      <c r="S111" s="25">
        <f>0/SUM(E111:F111)</f>
        <v>0</v>
      </c>
      <c r="T111" s="25">
        <f>E111/SUM(E111:F111)</f>
        <v>1</v>
      </c>
      <c r="U111" s="25">
        <f>IF(OR(ISBLANK($R111),ISBLANK(S111)),"NA",$R111*S111)</f>
        <v>0</v>
      </c>
      <c r="V111" s="25">
        <f>IF(OR(ISBLANK($R111),ISBLANK(T111)),"NA",$R111*T111)</f>
        <v>1</v>
      </c>
      <c r="W111" s="25"/>
      <c r="X111" s="25"/>
    </row>
    <row r="112" spans="1:24" ht="14.4" x14ac:dyDescent="0.55000000000000004">
      <c r="A112" s="13"/>
      <c r="B112" s="11" t="s">
        <v>107</v>
      </c>
      <c r="C112" s="12">
        <v>2021</v>
      </c>
      <c r="D112" s="45">
        <f>E112</f>
        <v>1808597</v>
      </c>
      <c r="E112" s="147">
        <v>1808597</v>
      </c>
      <c r="F112" s="14"/>
      <c r="G112" s="14"/>
      <c r="H112" s="14"/>
      <c r="I112" s="14"/>
      <c r="J112" s="14"/>
      <c r="K112" s="14"/>
      <c r="L112" s="14"/>
      <c r="M112" s="14"/>
      <c r="N112" s="13"/>
      <c r="O112" s="13"/>
      <c r="P112" s="13"/>
      <c r="Q112" s="13" t="str">
        <f t="shared" ref="Q112:Q113" si="72">$A$110&amp;C112&amp;"REV"</f>
        <v>OGS2021REV</v>
      </c>
      <c r="R112" s="25">
        <f t="shared" ref="R112:R113" si="73">SUM(E112:F112)/D112</f>
        <v>1</v>
      </c>
      <c r="S112" s="25">
        <f t="shared" ref="S112:S113" si="74">0/SUM(E112:F112)</f>
        <v>0</v>
      </c>
      <c r="T112" s="25">
        <f t="shared" ref="T112:T113" si="75">E112/SUM(E112:F112)</f>
        <v>1</v>
      </c>
      <c r="U112" s="25">
        <f>IF(OR(ISBLANK($R112),ISBLANK(S112)),"NA",$R112*S112)</f>
        <v>0</v>
      </c>
      <c r="V112" s="25">
        <f>IF(OR(ISBLANK($R112),ISBLANK(T112)),"NA",$R112*T112)</f>
        <v>1</v>
      </c>
      <c r="W112" s="25"/>
      <c r="X112" s="25"/>
    </row>
    <row r="113" spans="1:24" x14ac:dyDescent="0.4">
      <c r="A113" s="13"/>
      <c r="B113" s="11"/>
      <c r="C113" s="12">
        <v>2020</v>
      </c>
      <c r="D113" s="45">
        <f>E113</f>
        <v>1530268</v>
      </c>
      <c r="E113" s="142">
        <v>1530268</v>
      </c>
      <c r="F113" s="14"/>
      <c r="G113" s="14"/>
      <c r="H113" s="14"/>
      <c r="I113" s="14"/>
      <c r="J113" s="14"/>
      <c r="K113" s="14"/>
      <c r="L113" s="14"/>
      <c r="M113" s="14"/>
      <c r="N113" s="13"/>
      <c r="O113" s="13"/>
      <c r="P113" s="13"/>
      <c r="Q113" s="13" t="str">
        <f t="shared" si="72"/>
        <v>OGS2020REV</v>
      </c>
      <c r="R113" s="25">
        <f t="shared" si="73"/>
        <v>1</v>
      </c>
      <c r="S113" s="25">
        <f t="shared" si="74"/>
        <v>0</v>
      </c>
      <c r="T113" s="25">
        <f t="shared" si="75"/>
        <v>1</v>
      </c>
      <c r="U113" s="25">
        <f t="shared" ref="U113:V113" si="76">IF(OR(ISBLANK($R113),ISBLANK(S113)),"NA",$R113*S113)</f>
        <v>0</v>
      </c>
      <c r="V113" s="25">
        <f t="shared" si="76"/>
        <v>1</v>
      </c>
      <c r="W113" s="25"/>
      <c r="X113" s="25"/>
    </row>
    <row r="114" spans="1:24" x14ac:dyDescent="0.4">
      <c r="A114" s="13"/>
      <c r="B114" s="11"/>
      <c r="C114" s="12"/>
      <c r="D114" s="45"/>
      <c r="E114" s="38"/>
      <c r="F114" s="14"/>
      <c r="G114" s="14"/>
      <c r="H114" s="14"/>
      <c r="I114" s="14"/>
      <c r="J114" s="14"/>
      <c r="K114" s="14"/>
      <c r="L114" s="14"/>
      <c r="M114" s="14"/>
      <c r="N114" s="13"/>
      <c r="O114" s="13"/>
      <c r="P114" s="13"/>
      <c r="Q114" s="13"/>
      <c r="R114" s="13"/>
      <c r="S114" s="13"/>
      <c r="T114" s="13"/>
      <c r="U114" s="13"/>
      <c r="V114" s="13"/>
      <c r="W114" s="13"/>
      <c r="X114" s="13"/>
    </row>
    <row r="115" spans="1:24" x14ac:dyDescent="0.4">
      <c r="A115" s="13"/>
      <c r="B115" s="11"/>
      <c r="C115" s="12">
        <v>2022</v>
      </c>
      <c r="D115" s="45">
        <f>E115</f>
        <v>349957</v>
      </c>
      <c r="E115" s="38">
        <v>349957</v>
      </c>
      <c r="F115" s="14"/>
      <c r="G115" s="14"/>
      <c r="H115" s="14"/>
      <c r="I115" s="14"/>
      <c r="J115" s="14"/>
      <c r="K115" s="14"/>
      <c r="L115" s="14"/>
      <c r="M115" s="14"/>
      <c r="N115" s="13"/>
      <c r="O115" s="13"/>
      <c r="P115" s="13"/>
      <c r="Q115" s="13" t="str">
        <f>$A$110&amp;C115&amp;"INC"</f>
        <v>OGS2022INC</v>
      </c>
      <c r="R115" s="25">
        <f>SUM(E115:F115)/D115</f>
        <v>1</v>
      </c>
      <c r="S115" s="25">
        <f>0/SUM(E115:F115)</f>
        <v>0</v>
      </c>
      <c r="T115" s="25">
        <f>E115/SUM(E115:F115)</f>
        <v>1</v>
      </c>
      <c r="U115" s="25">
        <f>IF(OR(ISBLANK($R115),ISBLANK(S115)),"NA",$R115*S115)</f>
        <v>0</v>
      </c>
      <c r="V115" s="25">
        <f>IF(OR(ISBLANK($R115),ISBLANK(T115)),"NA",$R115*T115)</f>
        <v>1</v>
      </c>
      <c r="W115" s="25"/>
      <c r="X115" s="25"/>
    </row>
    <row r="116" spans="1:24" x14ac:dyDescent="0.4">
      <c r="A116" s="13"/>
      <c r="B116" s="11" t="s">
        <v>109</v>
      </c>
      <c r="C116" s="12">
        <v>2021</v>
      </c>
      <c r="D116" s="45">
        <f>E116</f>
        <v>310258</v>
      </c>
      <c r="E116" s="38">
        <v>310258</v>
      </c>
      <c r="F116" s="14"/>
      <c r="G116" s="14"/>
      <c r="H116" s="14"/>
      <c r="I116" s="14"/>
      <c r="J116" s="14"/>
      <c r="K116" s="14"/>
      <c r="L116" s="14"/>
      <c r="M116" s="14"/>
      <c r="N116" s="13"/>
      <c r="O116" s="13"/>
      <c r="P116" s="13"/>
      <c r="Q116" s="13" t="str">
        <f t="shared" ref="Q116:Q117" si="77">$A$110&amp;C116&amp;"INC"</f>
        <v>OGS2021INC</v>
      </c>
      <c r="R116" s="25">
        <f>SUM(E116:F116)/D116</f>
        <v>1</v>
      </c>
      <c r="S116" s="25">
        <f t="shared" ref="S116" si="78">0/SUM(E116:F116)</f>
        <v>0</v>
      </c>
      <c r="T116" s="25">
        <f>E116/SUM(E116:F116)</f>
        <v>1</v>
      </c>
      <c r="U116" s="25">
        <f>IF(OR(ISBLANK($R116),ISBLANK(S116)),"NA",$R116*S116)</f>
        <v>0</v>
      </c>
      <c r="V116" s="25">
        <f>IF(OR(ISBLANK($R116),ISBLANK(T116)),"NA",$R116*T116)</f>
        <v>1</v>
      </c>
      <c r="W116" s="25"/>
      <c r="X116" s="25"/>
    </row>
    <row r="117" spans="1:24" x14ac:dyDescent="0.4">
      <c r="A117" s="13"/>
      <c r="B117" s="11"/>
      <c r="C117" s="12">
        <v>2020</v>
      </c>
      <c r="D117" s="45">
        <f>E117</f>
        <v>303516</v>
      </c>
      <c r="E117" s="38">
        <v>303516</v>
      </c>
      <c r="F117" s="14"/>
      <c r="G117" s="14"/>
      <c r="H117" s="14"/>
      <c r="I117" s="14"/>
      <c r="J117" s="14"/>
      <c r="K117" s="14"/>
      <c r="L117" s="14"/>
      <c r="M117" s="14"/>
      <c r="N117" s="13"/>
      <c r="O117" s="13"/>
      <c r="P117" s="13"/>
      <c r="Q117" s="13" t="str">
        <f t="shared" si="77"/>
        <v>OGS2020INC</v>
      </c>
      <c r="R117" s="25">
        <f>SUM(E117:F117)/D117</f>
        <v>1</v>
      </c>
      <c r="S117" s="25">
        <f>0/SUM(E117:F117)</f>
        <v>0</v>
      </c>
      <c r="T117" s="25">
        <f>E117/SUM(E117:F117)</f>
        <v>1</v>
      </c>
      <c r="U117" s="25">
        <f t="shared" ref="U117:V117" si="79">IF(OR(ISBLANK($R117),ISBLANK(S117)),"NA",$R117*S117)</f>
        <v>0</v>
      </c>
      <c r="V117" s="25">
        <f t="shared" si="79"/>
        <v>1</v>
      </c>
      <c r="W117" s="25"/>
      <c r="X117" s="25"/>
    </row>
    <row r="118" spans="1:24" x14ac:dyDescent="0.4">
      <c r="A118" s="13"/>
      <c r="B118" s="11"/>
      <c r="C118" s="12"/>
      <c r="D118" s="45"/>
      <c r="E118" s="38"/>
      <c r="F118" s="14"/>
      <c r="G118" s="14"/>
      <c r="H118" s="14"/>
      <c r="I118" s="14"/>
      <c r="J118" s="14"/>
      <c r="K118" s="14"/>
      <c r="L118" s="14"/>
      <c r="M118" s="14"/>
      <c r="N118" s="13"/>
      <c r="O118" s="13"/>
      <c r="P118" s="13"/>
      <c r="Q118" s="13"/>
      <c r="R118" s="13"/>
      <c r="S118" s="13"/>
      <c r="T118" s="13"/>
      <c r="U118" s="13"/>
      <c r="V118" s="13"/>
      <c r="W118" s="13"/>
      <c r="X118" s="13"/>
    </row>
    <row r="119" spans="1:24" x14ac:dyDescent="0.4">
      <c r="A119" s="13"/>
      <c r="B119" s="11"/>
      <c r="C119" s="12">
        <v>2022</v>
      </c>
      <c r="D119" s="45">
        <f>E119</f>
        <v>7776396</v>
      </c>
      <c r="E119" s="30">
        <v>7776396</v>
      </c>
      <c r="F119" s="14"/>
      <c r="G119" s="14"/>
      <c r="H119" s="14"/>
      <c r="I119" s="14"/>
      <c r="J119" s="14"/>
      <c r="K119" s="14"/>
      <c r="L119" s="14"/>
      <c r="M119" s="14"/>
      <c r="N119" s="13"/>
      <c r="O119" s="13"/>
      <c r="P119" s="13"/>
      <c r="Q119" s="13" t="str">
        <f>$A$110&amp;C119&amp;"ASSETS"</f>
        <v>OGS2022ASSETS</v>
      </c>
      <c r="R119" s="25">
        <f>SUM(E119:F119)/D119</f>
        <v>1</v>
      </c>
      <c r="S119" s="25">
        <f>0/SUM(E119:F119)</f>
        <v>0</v>
      </c>
      <c r="T119" s="25">
        <f>E119/SUM(E119:F119)</f>
        <v>1</v>
      </c>
      <c r="U119" s="25">
        <f>IF(OR(ISBLANK($R119),ISBLANK(S119)),"NA",$R119*S119)</f>
        <v>0</v>
      </c>
      <c r="V119" s="25">
        <f>IF(OR(ISBLANK($R119),ISBLANK(T119)),"NA",$R119*T119)</f>
        <v>1</v>
      </c>
      <c r="W119" s="25"/>
      <c r="X119" s="25"/>
    </row>
    <row r="120" spans="1:24" ht="14.4" x14ac:dyDescent="0.55000000000000004">
      <c r="A120" s="13"/>
      <c r="B120" s="11" t="s">
        <v>110</v>
      </c>
      <c r="C120" s="12">
        <v>2021</v>
      </c>
      <c r="D120" s="45">
        <f>E120</f>
        <v>8402120</v>
      </c>
      <c r="E120" s="147">
        <v>8402120</v>
      </c>
      <c r="F120" s="14"/>
      <c r="G120" s="14"/>
      <c r="H120" s="14"/>
      <c r="I120" s="14"/>
      <c r="J120" s="14"/>
      <c r="K120" s="14"/>
      <c r="L120" s="14"/>
      <c r="M120" s="14"/>
      <c r="N120" s="13"/>
      <c r="O120" s="13"/>
      <c r="P120" s="13"/>
      <c r="Q120" s="13" t="str">
        <f t="shared" ref="Q120:Q121" si="80">$A$110&amp;C120&amp;"ASSETS"</f>
        <v>OGS2021ASSETS</v>
      </c>
      <c r="R120" s="25">
        <f t="shared" ref="R120:R121" si="81">SUM(E120:F120)/D120</f>
        <v>1</v>
      </c>
      <c r="S120" s="25">
        <f t="shared" ref="S120:S121" si="82">0/SUM(E120:F120)</f>
        <v>0</v>
      </c>
      <c r="T120" s="25">
        <f t="shared" ref="T120:T121" si="83">E120/SUM(E120:F120)</f>
        <v>1</v>
      </c>
      <c r="U120" s="25">
        <f>IF(OR(ISBLANK($R120),ISBLANK(S120)),"NA",$R120*S120)</f>
        <v>0</v>
      </c>
      <c r="V120" s="25">
        <f>IF(OR(ISBLANK($R120),ISBLANK(T120)),"NA",$R120*T120)</f>
        <v>1</v>
      </c>
      <c r="W120" s="25"/>
      <c r="X120" s="25"/>
    </row>
    <row r="121" spans="1:24" x14ac:dyDescent="0.4">
      <c r="A121" s="13"/>
      <c r="B121" s="11"/>
      <c r="C121" s="12">
        <v>2020</v>
      </c>
      <c r="D121" s="45">
        <f>E121</f>
        <v>6028712</v>
      </c>
      <c r="E121" s="38">
        <v>6028712</v>
      </c>
      <c r="F121" s="14"/>
      <c r="G121" s="14"/>
      <c r="H121" s="14"/>
      <c r="I121" s="14"/>
      <c r="J121" s="14"/>
      <c r="K121" s="14"/>
      <c r="L121" s="14"/>
      <c r="M121" s="14"/>
      <c r="N121" s="13"/>
      <c r="O121" s="13"/>
      <c r="P121" s="13"/>
      <c r="Q121" s="13" t="str">
        <f t="shared" si="80"/>
        <v>OGS2020ASSETS</v>
      </c>
      <c r="R121" s="25">
        <f t="shared" si="81"/>
        <v>1</v>
      </c>
      <c r="S121" s="25">
        <f t="shared" si="82"/>
        <v>0</v>
      </c>
      <c r="T121" s="25">
        <f t="shared" si="83"/>
        <v>1</v>
      </c>
      <c r="U121" s="25">
        <f t="shared" ref="U121:V121" si="84">IF(OR(ISBLANK($R121),ISBLANK(S121)),"NA",$R121*S121)</f>
        <v>0</v>
      </c>
      <c r="V121" s="25">
        <f t="shared" si="84"/>
        <v>1</v>
      </c>
      <c r="W121" s="25"/>
      <c r="X121" s="25"/>
    </row>
    <row r="122" spans="1:24" x14ac:dyDescent="0.4">
      <c r="B122" s="137"/>
    </row>
    <row r="123" spans="1:24" x14ac:dyDescent="0.4">
      <c r="B123" s="137"/>
    </row>
    <row r="124" spans="1:24" x14ac:dyDescent="0.4">
      <c r="B124" s="137"/>
    </row>
    <row r="125" spans="1:24" x14ac:dyDescent="0.4">
      <c r="A125" s="10" t="s">
        <v>415</v>
      </c>
      <c r="B125" s="11"/>
      <c r="C125" s="12"/>
      <c r="D125" s="13"/>
      <c r="E125" s="14"/>
      <c r="F125" s="14"/>
      <c r="G125" s="14"/>
      <c r="H125" s="14"/>
      <c r="I125" s="14"/>
      <c r="J125" s="14"/>
      <c r="K125" s="14"/>
      <c r="L125" s="14"/>
      <c r="M125" s="14"/>
      <c r="N125" s="139"/>
      <c r="O125" s="13"/>
      <c r="P125" s="13"/>
      <c r="Q125" s="13"/>
      <c r="R125" s="13"/>
      <c r="S125" s="13"/>
      <c r="T125" s="13"/>
      <c r="U125" s="13"/>
      <c r="V125" s="13"/>
      <c r="W125" s="13"/>
      <c r="X125" s="13"/>
    </row>
    <row r="126" spans="1:24" x14ac:dyDescent="0.4">
      <c r="A126" s="13" t="s">
        <v>416</v>
      </c>
      <c r="B126" s="11"/>
      <c r="C126" s="12"/>
      <c r="D126" s="13"/>
      <c r="E126" s="14"/>
      <c r="F126" s="14"/>
      <c r="G126" s="14"/>
      <c r="H126" s="14"/>
      <c r="I126" s="14"/>
      <c r="J126" s="14"/>
      <c r="K126" s="14"/>
      <c r="L126" s="14"/>
      <c r="M126" s="14"/>
      <c r="N126" s="139"/>
      <c r="O126" s="13"/>
      <c r="P126" s="13"/>
      <c r="Q126" s="13"/>
      <c r="R126" s="13"/>
      <c r="S126" s="13"/>
      <c r="T126" s="13"/>
      <c r="U126" s="13"/>
      <c r="V126" s="13"/>
      <c r="W126" s="13"/>
      <c r="X126" s="13"/>
    </row>
    <row r="127" spans="1:24" ht="36.9" x14ac:dyDescent="0.4">
      <c r="A127" s="10" t="s">
        <v>417</v>
      </c>
      <c r="B127" s="11"/>
      <c r="C127" s="12" t="s">
        <v>127</v>
      </c>
      <c r="D127" s="12" t="s">
        <v>96</v>
      </c>
      <c r="E127" s="41" t="s">
        <v>418</v>
      </c>
      <c r="F127" s="41" t="s">
        <v>419</v>
      </c>
      <c r="G127" s="41" t="s">
        <v>420</v>
      </c>
      <c r="H127" s="41" t="s">
        <v>421</v>
      </c>
      <c r="I127" s="41" t="s">
        <v>422</v>
      </c>
      <c r="J127" s="41" t="s">
        <v>399</v>
      </c>
      <c r="K127" s="41" t="s">
        <v>423</v>
      </c>
      <c r="L127" s="41" t="s">
        <v>424</v>
      </c>
      <c r="M127" s="26" t="s">
        <v>140</v>
      </c>
      <c r="O127" s="13"/>
      <c r="P127" s="13"/>
      <c r="Q127" s="20"/>
      <c r="R127" s="21" t="s">
        <v>102</v>
      </c>
      <c r="S127" s="21" t="s">
        <v>103</v>
      </c>
      <c r="T127" s="21" t="s">
        <v>104</v>
      </c>
      <c r="U127" s="21" t="s">
        <v>105</v>
      </c>
      <c r="V127" s="21" t="s">
        <v>106</v>
      </c>
      <c r="W127" s="22"/>
      <c r="X127" s="22"/>
    </row>
    <row r="128" spans="1:24" x14ac:dyDescent="0.4">
      <c r="A128" s="13"/>
      <c r="B128" s="11"/>
      <c r="C128" s="12">
        <v>2022</v>
      </c>
      <c r="D128" s="166"/>
      <c r="E128" s="61"/>
      <c r="F128" s="61"/>
      <c r="G128" s="61"/>
      <c r="H128" s="167"/>
      <c r="I128" s="61"/>
      <c r="J128" s="61"/>
      <c r="K128" s="61"/>
      <c r="L128" s="168"/>
      <c r="M128" s="169"/>
      <c r="O128" s="13"/>
      <c r="P128" s="13"/>
      <c r="Q128" s="13" t="str">
        <f>$A$127&amp;C128&amp;"REV"</f>
        <v>SJI2022REV</v>
      </c>
      <c r="R128" s="62"/>
      <c r="S128" s="62"/>
      <c r="T128" s="62"/>
      <c r="U128" s="62"/>
      <c r="V128" s="62"/>
      <c r="W128" s="25"/>
      <c r="X128" s="25"/>
    </row>
    <row r="129" spans="1:24" ht="14.4" x14ac:dyDescent="0.55000000000000004">
      <c r="A129" s="13"/>
      <c r="B129" s="11" t="s">
        <v>107</v>
      </c>
      <c r="C129" s="12">
        <v>2021</v>
      </c>
      <c r="D129" s="23">
        <f>SUM(E129:M129)</f>
        <v>1991996</v>
      </c>
      <c r="E129" s="147">
        <v>978450</v>
      </c>
      <c r="F129" s="147">
        <v>993938</v>
      </c>
      <c r="G129" s="147">
        <v>17889</v>
      </c>
      <c r="H129" s="144">
        <v>24038</v>
      </c>
      <c r="I129" s="147" t="s">
        <v>425</v>
      </c>
      <c r="J129" s="147"/>
      <c r="K129" s="147">
        <v>59480</v>
      </c>
      <c r="L129" s="170">
        <v>-81799</v>
      </c>
      <c r="M129" s="36" t="s">
        <v>108</v>
      </c>
      <c r="O129" s="23"/>
      <c r="P129" s="13"/>
      <c r="Q129" s="13" t="str">
        <f t="shared" ref="Q129:Q130" si="85">$A$127&amp;C129&amp;"REV"</f>
        <v>SJI2021REV</v>
      </c>
      <c r="R129" s="25">
        <f t="shared" ref="R129:R130" si="86">E129/D129</f>
        <v>0.49119074536294249</v>
      </c>
      <c r="S129" s="25">
        <f t="shared" ref="S129:S130" si="87">0/E129</f>
        <v>0</v>
      </c>
      <c r="T129" s="25">
        <f t="shared" ref="T129:T130" si="88">E129/E129</f>
        <v>1</v>
      </c>
      <c r="U129" s="25">
        <f t="shared" ref="U129:V130" si="89">IF(OR(ISBLANK($R129),ISBLANK(S129)),"NA",$R129*S129)</f>
        <v>0</v>
      </c>
      <c r="V129" s="25">
        <f t="shared" si="89"/>
        <v>0.49119074536294249</v>
      </c>
      <c r="W129" s="25"/>
      <c r="X129" s="25"/>
    </row>
    <row r="130" spans="1:24" x14ac:dyDescent="0.4">
      <c r="A130" s="13"/>
      <c r="B130" s="11"/>
      <c r="C130" s="12">
        <v>2020</v>
      </c>
      <c r="D130" s="23">
        <f>SUM(E130:M130)</f>
        <v>1543361</v>
      </c>
      <c r="E130" s="170">
        <v>925972</v>
      </c>
      <c r="F130" s="170">
        <v>571590</v>
      </c>
      <c r="G130" s="170">
        <v>38251</v>
      </c>
      <c r="H130" s="170">
        <v>15617</v>
      </c>
      <c r="I130" s="170">
        <v>1978</v>
      </c>
      <c r="J130" s="170"/>
      <c r="K130" s="144">
        <v>54422</v>
      </c>
      <c r="L130" s="170">
        <v>-64469</v>
      </c>
      <c r="M130" s="36" t="s">
        <v>108</v>
      </c>
      <c r="O130" s="13"/>
      <c r="P130" s="13"/>
      <c r="Q130" s="13" t="str">
        <f t="shared" si="85"/>
        <v>SJI2020REV</v>
      </c>
      <c r="R130" s="25">
        <f t="shared" si="86"/>
        <v>0.59997110202992043</v>
      </c>
      <c r="S130" s="25">
        <f t="shared" si="87"/>
        <v>0</v>
      </c>
      <c r="T130" s="25">
        <f t="shared" si="88"/>
        <v>1</v>
      </c>
      <c r="U130" s="25">
        <f t="shared" si="89"/>
        <v>0</v>
      </c>
      <c r="V130" s="25">
        <f t="shared" si="89"/>
        <v>0.59997110202992043</v>
      </c>
      <c r="W130" s="25"/>
      <c r="X130" s="25"/>
    </row>
    <row r="131" spans="1:24" x14ac:dyDescent="0.4">
      <c r="A131" s="13"/>
      <c r="B131" s="11"/>
      <c r="C131" s="12"/>
      <c r="D131" s="13"/>
      <c r="E131" s="32"/>
      <c r="F131" s="32"/>
      <c r="G131" s="32"/>
      <c r="H131" s="37"/>
      <c r="I131" s="32"/>
      <c r="J131" s="37"/>
      <c r="K131" s="37"/>
      <c r="L131" s="37"/>
      <c r="M131" s="37"/>
      <c r="O131" s="13"/>
      <c r="P131" s="13"/>
      <c r="Q131" s="13"/>
      <c r="R131" s="13"/>
      <c r="S131" s="13"/>
      <c r="T131" s="13"/>
      <c r="U131" s="13"/>
      <c r="V131" s="13"/>
      <c r="W131" s="13"/>
      <c r="X131" s="13"/>
    </row>
    <row r="132" spans="1:24" x14ac:dyDescent="0.4">
      <c r="A132" s="13"/>
      <c r="B132" s="11"/>
      <c r="C132" s="12">
        <v>2022</v>
      </c>
      <c r="D132" s="166"/>
      <c r="E132" s="61"/>
      <c r="F132" s="61"/>
      <c r="G132" s="61"/>
      <c r="H132" s="167"/>
      <c r="I132" s="61"/>
      <c r="J132" s="61"/>
      <c r="K132" s="61"/>
      <c r="L132" s="168"/>
      <c r="M132" s="169"/>
      <c r="O132" s="13"/>
      <c r="P132" s="13"/>
      <c r="Q132" s="13" t="str">
        <f>$A$127&amp;C132&amp;"INC"</f>
        <v>SJI2022INC</v>
      </c>
      <c r="R132" s="62"/>
      <c r="S132" s="62"/>
      <c r="T132" s="62"/>
      <c r="U132" s="62"/>
      <c r="V132" s="62"/>
      <c r="W132" s="25"/>
      <c r="X132" s="25"/>
    </row>
    <row r="133" spans="1:24" ht="14.4" x14ac:dyDescent="0.55000000000000004">
      <c r="A133" s="13"/>
      <c r="B133" s="11" t="s">
        <v>109</v>
      </c>
      <c r="C133" s="12">
        <v>2021</v>
      </c>
      <c r="D133" s="23">
        <f>SUM(E133:M133)</f>
        <v>349240</v>
      </c>
      <c r="E133" s="144">
        <v>294723</v>
      </c>
      <c r="F133" s="147">
        <v>48406</v>
      </c>
      <c r="G133" s="147">
        <v>1838</v>
      </c>
      <c r="H133" s="147">
        <v>4569</v>
      </c>
      <c r="I133" s="147" t="s">
        <v>425</v>
      </c>
      <c r="J133" s="147">
        <v>0</v>
      </c>
      <c r="K133" s="147">
        <v>-296</v>
      </c>
      <c r="L133" s="36" t="s">
        <v>108</v>
      </c>
      <c r="M133" s="36" t="s">
        <v>108</v>
      </c>
      <c r="O133" s="13"/>
      <c r="P133" s="13"/>
      <c r="Q133" s="13" t="str">
        <f t="shared" ref="Q133:Q134" si="90">$A$127&amp;C133&amp;"INC"</f>
        <v>SJI2021INC</v>
      </c>
      <c r="R133" s="25">
        <f t="shared" ref="R133:R134" si="91">IF(E133/D133&gt;100%,100%, E133/D133)</f>
        <v>0.84389817890276031</v>
      </c>
      <c r="S133" s="25">
        <f t="shared" ref="S133:S134" si="92">0/E133</f>
        <v>0</v>
      </c>
      <c r="T133" s="25">
        <f t="shared" ref="T133:T134" si="93">E133/E133</f>
        <v>1</v>
      </c>
      <c r="U133" s="25">
        <f t="shared" ref="U133:V134" si="94">IF(OR(ISBLANK($R133),ISBLANK(S133)),"NA",$R133*S133)</f>
        <v>0</v>
      </c>
      <c r="V133" s="155">
        <f t="shared" si="94"/>
        <v>0.84389817890276031</v>
      </c>
      <c r="W133" s="25"/>
      <c r="X133" s="25"/>
    </row>
    <row r="134" spans="1:24" x14ac:dyDescent="0.4">
      <c r="A134" s="13"/>
      <c r="B134" s="11"/>
      <c r="C134" s="12">
        <v>2020</v>
      </c>
      <c r="D134" s="23">
        <f>SUM(E134:M134)</f>
        <v>284196</v>
      </c>
      <c r="E134" s="32">
        <v>261245</v>
      </c>
      <c r="F134" s="32">
        <v>33869</v>
      </c>
      <c r="G134" s="32">
        <v>-3153</v>
      </c>
      <c r="H134" s="32">
        <v>-5602</v>
      </c>
      <c r="I134" s="32">
        <v>1974</v>
      </c>
      <c r="J134" s="32">
        <v>-467</v>
      </c>
      <c r="K134" s="32">
        <v>-3670</v>
      </c>
      <c r="L134" s="36" t="s">
        <v>108</v>
      </c>
      <c r="M134" s="36" t="s">
        <v>108</v>
      </c>
      <c r="O134" s="13"/>
      <c r="P134" s="13"/>
      <c r="Q134" s="13" t="str">
        <f t="shared" si="90"/>
        <v>SJI2020INC</v>
      </c>
      <c r="R134" s="25">
        <f t="shared" si="91"/>
        <v>0.91924235386845699</v>
      </c>
      <c r="S134" s="25">
        <f t="shared" si="92"/>
        <v>0</v>
      </c>
      <c r="T134" s="25">
        <f t="shared" si="93"/>
        <v>1</v>
      </c>
      <c r="U134" s="25">
        <f t="shared" si="94"/>
        <v>0</v>
      </c>
      <c r="V134" s="155">
        <f t="shared" si="94"/>
        <v>0.91924235386845699</v>
      </c>
      <c r="W134" s="25"/>
      <c r="X134" s="25"/>
    </row>
    <row r="135" spans="1:24" x14ac:dyDescent="0.4">
      <c r="A135" s="13"/>
      <c r="B135" s="11"/>
      <c r="C135" s="12"/>
      <c r="D135" s="46"/>
      <c r="E135" s="37"/>
      <c r="F135" s="37"/>
      <c r="G135" s="32"/>
      <c r="H135" s="37"/>
      <c r="I135" s="32"/>
      <c r="J135" s="37"/>
      <c r="K135" s="37"/>
      <c r="L135" s="37"/>
      <c r="M135" s="37"/>
      <c r="O135" s="13"/>
      <c r="P135" s="13"/>
      <c r="Q135" s="13"/>
      <c r="R135" s="13"/>
      <c r="S135" s="13"/>
      <c r="T135" s="13"/>
      <c r="U135" s="13"/>
      <c r="V135" s="13"/>
      <c r="W135" s="13"/>
      <c r="X135" s="13"/>
    </row>
    <row r="136" spans="1:24" x14ac:dyDescent="0.4">
      <c r="A136" s="13"/>
      <c r="B136" s="11"/>
      <c r="C136" s="12">
        <v>2022</v>
      </c>
      <c r="D136" s="166"/>
      <c r="E136" s="61"/>
      <c r="F136" s="61"/>
      <c r="G136" s="61"/>
      <c r="H136" s="167"/>
      <c r="I136" s="61"/>
      <c r="J136" s="61"/>
      <c r="K136" s="61"/>
      <c r="L136" s="168"/>
      <c r="M136" s="169"/>
      <c r="O136" s="13"/>
      <c r="P136" s="13"/>
      <c r="Q136" s="13" t="str">
        <f>$A$127&amp;C136&amp;"ASSETS"</f>
        <v>SJI2022ASSETS</v>
      </c>
      <c r="R136" s="62"/>
      <c r="S136" s="62"/>
      <c r="T136" s="62"/>
      <c r="U136" s="62"/>
      <c r="V136" s="62"/>
      <c r="W136" s="25"/>
      <c r="X136" s="25"/>
    </row>
    <row r="137" spans="1:24" ht="14.4" x14ac:dyDescent="0.55000000000000004">
      <c r="A137" s="13"/>
      <c r="B137" s="11" t="s">
        <v>110</v>
      </c>
      <c r="C137" s="12">
        <v>2021</v>
      </c>
      <c r="D137" s="23">
        <f>SUM(E137:M137)</f>
        <v>7169885</v>
      </c>
      <c r="E137" s="147">
        <v>6556362</v>
      </c>
      <c r="F137" s="147">
        <v>278995</v>
      </c>
      <c r="G137" s="147">
        <v>25741</v>
      </c>
      <c r="H137" s="147">
        <v>195791</v>
      </c>
      <c r="I137" s="147" t="s">
        <v>425</v>
      </c>
      <c r="J137" s="147">
        <v>8970</v>
      </c>
      <c r="K137" s="144">
        <v>370899</v>
      </c>
      <c r="L137" s="147">
        <v>-266920</v>
      </c>
      <c r="M137" s="137">
        <v>47</v>
      </c>
      <c r="O137" s="13"/>
      <c r="P137" s="13"/>
      <c r="Q137" s="13" t="str">
        <f t="shared" ref="Q137:Q138" si="95">$A$127&amp;C137&amp;"ASSETS"</f>
        <v>SJI2021ASSETS</v>
      </c>
      <c r="R137" s="25">
        <f t="shared" ref="R137:R138" si="96">E137/D137</f>
        <v>0.91443056618062912</v>
      </c>
      <c r="S137" s="25">
        <f t="shared" ref="S137:S138" si="97">0/E137</f>
        <v>0</v>
      </c>
      <c r="T137" s="25">
        <f t="shared" ref="T137:T138" si="98">E137/E137</f>
        <v>1</v>
      </c>
      <c r="U137" s="25">
        <f t="shared" ref="U137:V138" si="99">IF(OR(ISBLANK($R137),ISBLANK(S137)),"NA",$R137*S137)</f>
        <v>0</v>
      </c>
      <c r="V137" s="25">
        <f t="shared" si="99"/>
        <v>0.91443056618062912</v>
      </c>
      <c r="W137" s="25"/>
      <c r="X137" s="25"/>
    </row>
    <row r="138" spans="1:24" x14ac:dyDescent="0.4">
      <c r="A138" s="13"/>
      <c r="B138" s="11"/>
      <c r="C138" s="12">
        <v>2020</v>
      </c>
      <c r="D138" s="23">
        <f>SUM(E138:M138)</f>
        <v>6648657</v>
      </c>
      <c r="E138" s="32">
        <v>6083332</v>
      </c>
      <c r="F138" s="32">
        <v>195882</v>
      </c>
      <c r="G138" s="32">
        <v>29678</v>
      </c>
      <c r="H138" s="32">
        <v>153018</v>
      </c>
      <c r="I138" s="32" t="s">
        <v>108</v>
      </c>
      <c r="J138" s="32">
        <v>92208</v>
      </c>
      <c r="K138" s="144">
        <v>318095</v>
      </c>
      <c r="L138" s="32">
        <v>-225331</v>
      </c>
      <c r="M138" s="32">
        <v>1775</v>
      </c>
      <c r="O138" s="13"/>
      <c r="P138" s="13"/>
      <c r="Q138" s="13" t="str">
        <f t="shared" si="95"/>
        <v>SJI2020ASSETS</v>
      </c>
      <c r="R138" s="25">
        <f t="shared" si="96"/>
        <v>0.91497154989345963</v>
      </c>
      <c r="S138" s="25">
        <f t="shared" si="97"/>
        <v>0</v>
      </c>
      <c r="T138" s="25">
        <f t="shared" si="98"/>
        <v>1</v>
      </c>
      <c r="U138" s="25">
        <f t="shared" si="99"/>
        <v>0</v>
      </c>
      <c r="V138" s="25">
        <f t="shared" si="99"/>
        <v>0.91497154989345963</v>
      </c>
      <c r="W138" s="25"/>
      <c r="X138" s="25"/>
    </row>
    <row r="139" spans="1:24" x14ac:dyDescent="0.4">
      <c r="B139" s="137"/>
      <c r="E139" s="30"/>
      <c r="F139" s="30"/>
      <c r="I139" s="30"/>
    </row>
    <row r="140" spans="1:24" x14ac:dyDescent="0.4">
      <c r="B140" s="137"/>
    </row>
    <row r="141" spans="1:24" x14ac:dyDescent="0.4">
      <c r="B141" s="137"/>
    </row>
    <row r="142" spans="1:24" x14ac:dyDescent="0.4">
      <c r="A142" s="10" t="s">
        <v>426</v>
      </c>
      <c r="B142" s="11"/>
      <c r="C142" s="12"/>
      <c r="D142" s="13"/>
      <c r="E142" s="14"/>
      <c r="F142" s="14"/>
      <c r="G142" s="14"/>
      <c r="H142" s="14"/>
      <c r="I142" s="14"/>
      <c r="J142" s="14"/>
      <c r="K142" s="14"/>
      <c r="L142" s="14"/>
      <c r="M142" s="14"/>
      <c r="N142" s="139"/>
      <c r="O142" s="13"/>
      <c r="P142" s="13"/>
      <c r="Q142" s="13"/>
      <c r="R142" s="13"/>
      <c r="S142" s="13"/>
      <c r="T142" s="13"/>
      <c r="U142" s="13"/>
      <c r="V142" s="13"/>
      <c r="W142" s="13"/>
      <c r="X142" s="13"/>
    </row>
    <row r="143" spans="1:24" x14ac:dyDescent="0.4">
      <c r="A143" s="13" t="s">
        <v>427</v>
      </c>
      <c r="B143" s="11"/>
      <c r="C143" s="12"/>
      <c r="D143" s="13"/>
      <c r="E143" s="14"/>
      <c r="F143" s="14"/>
      <c r="G143" s="14"/>
      <c r="H143" s="14"/>
      <c r="I143" s="14"/>
      <c r="J143" s="14"/>
      <c r="K143" s="14"/>
      <c r="L143" s="14"/>
      <c r="M143" s="14"/>
      <c r="N143" s="139"/>
      <c r="O143" s="13"/>
      <c r="P143" s="13"/>
      <c r="Q143" s="13"/>
      <c r="R143" s="13"/>
      <c r="S143" s="13"/>
      <c r="T143" s="13"/>
      <c r="U143" s="13"/>
      <c r="V143" s="13"/>
      <c r="W143" s="13"/>
      <c r="X143" s="13"/>
    </row>
    <row r="144" spans="1:24" ht="36.9" x14ac:dyDescent="0.4">
      <c r="A144" s="10" t="s">
        <v>428</v>
      </c>
      <c r="B144" s="11"/>
      <c r="C144" s="12" t="s">
        <v>127</v>
      </c>
      <c r="D144" s="12" t="s">
        <v>96</v>
      </c>
      <c r="E144" s="41" t="s">
        <v>429</v>
      </c>
      <c r="F144" s="41" t="s">
        <v>430</v>
      </c>
      <c r="G144" s="19" t="s">
        <v>130</v>
      </c>
      <c r="H144" s="14"/>
      <c r="I144" s="14"/>
      <c r="J144" s="14"/>
      <c r="K144" s="14"/>
      <c r="L144" s="14"/>
      <c r="M144" s="14"/>
      <c r="N144" s="13"/>
      <c r="O144" s="13"/>
      <c r="P144" s="13"/>
      <c r="Q144" s="20"/>
      <c r="R144" s="21" t="s">
        <v>102</v>
      </c>
      <c r="S144" s="21" t="s">
        <v>103</v>
      </c>
      <c r="T144" s="21" t="s">
        <v>104</v>
      </c>
      <c r="U144" s="21" t="s">
        <v>105</v>
      </c>
      <c r="V144" s="21" t="s">
        <v>106</v>
      </c>
      <c r="W144" s="22"/>
      <c r="X144" s="22"/>
    </row>
    <row r="145" spans="1:24" x14ac:dyDescent="0.4">
      <c r="A145" s="13"/>
      <c r="B145" s="11"/>
      <c r="C145" s="12">
        <v>2022</v>
      </c>
      <c r="D145" s="23">
        <f>SUM(E145:G145)</f>
        <v>4695396</v>
      </c>
      <c r="E145" s="30">
        <v>1935069</v>
      </c>
      <c r="F145" s="30">
        <v>2760327</v>
      </c>
      <c r="G145" s="171" t="s">
        <v>108</v>
      </c>
      <c r="H145" s="14"/>
      <c r="I145" s="14"/>
      <c r="J145" s="14"/>
      <c r="K145" s="14"/>
      <c r="L145" s="14"/>
      <c r="M145" s="14"/>
      <c r="N145" s="13"/>
      <c r="O145" s="13"/>
      <c r="P145" s="13"/>
      <c r="Q145" s="13" t="str">
        <f>$A$144&amp;C145&amp;"REV"</f>
        <v>SWX2022REV</v>
      </c>
      <c r="R145" s="25">
        <f>E145/D145</f>
        <v>0.4121205112412244</v>
      </c>
      <c r="S145" s="25">
        <f>0/E145</f>
        <v>0</v>
      </c>
      <c r="T145" s="25">
        <f>E145/E145</f>
        <v>1</v>
      </c>
      <c r="U145" s="25">
        <f>IF(OR(ISBLANK($R145),ISBLANK(S145)),"NA",$R145*S145)</f>
        <v>0</v>
      </c>
      <c r="V145" s="25">
        <f>IF(OR(ISBLANK($R145),ISBLANK(T145)),"NA",$R145*T145)</f>
        <v>0.4121205112412244</v>
      </c>
      <c r="W145" s="25"/>
      <c r="X145" s="25"/>
    </row>
    <row r="146" spans="1:24" x14ac:dyDescent="0.4">
      <c r="A146" s="13"/>
      <c r="B146" s="11" t="s">
        <v>107</v>
      </c>
      <c r="C146" s="12">
        <v>2021</v>
      </c>
      <c r="D146" s="23">
        <f t="shared" ref="D146:D147" si="100">SUM(E146:G146)</f>
        <v>3680451</v>
      </c>
      <c r="E146" s="30">
        <v>1521790</v>
      </c>
      <c r="F146" s="30">
        <v>2158661</v>
      </c>
      <c r="G146" s="171" t="s">
        <v>108</v>
      </c>
      <c r="H146" s="14"/>
      <c r="I146" s="14"/>
      <c r="J146" s="14"/>
      <c r="K146" s="14"/>
      <c r="L146" s="14"/>
      <c r="M146" s="14"/>
      <c r="N146" s="13"/>
      <c r="O146" s="13"/>
      <c r="P146" s="13"/>
      <c r="Q146" s="13" t="str">
        <f t="shared" ref="Q146:Q147" si="101">$A$144&amp;C146&amp;"REV"</f>
        <v>SWX2021REV</v>
      </c>
      <c r="R146" s="25">
        <f t="shared" ref="R146:R147" si="102">E146/D146</f>
        <v>0.41347921762849171</v>
      </c>
      <c r="S146" s="25">
        <f t="shared" ref="S146:S147" si="103">0/E146</f>
        <v>0</v>
      </c>
      <c r="T146" s="25">
        <f t="shared" ref="T146:T147" si="104">E146/E146</f>
        <v>1</v>
      </c>
      <c r="U146" s="25">
        <f>IF(OR(ISBLANK($R146),ISBLANK(S146)),"NA",$R146*S146)</f>
        <v>0</v>
      </c>
      <c r="V146" s="25">
        <f>IF(OR(ISBLANK($R146),ISBLANK(T146)),"NA",$R146*T146)</f>
        <v>0.41347921762849171</v>
      </c>
      <c r="W146" s="25"/>
      <c r="X146" s="25"/>
    </row>
    <row r="147" spans="1:24" x14ac:dyDescent="0.4">
      <c r="A147" s="13"/>
      <c r="B147" s="11"/>
      <c r="C147" s="12">
        <v>2020</v>
      </c>
      <c r="D147" s="23">
        <f t="shared" si="100"/>
        <v>3298873</v>
      </c>
      <c r="E147" s="170">
        <v>1350585</v>
      </c>
      <c r="F147" s="170">
        <v>1948288</v>
      </c>
      <c r="G147" s="171" t="s">
        <v>108</v>
      </c>
      <c r="H147" s="14"/>
      <c r="I147" s="14"/>
      <c r="J147" s="14"/>
      <c r="K147" s="14"/>
      <c r="L147" s="14"/>
      <c r="M147" s="14"/>
      <c r="N147" s="13"/>
      <c r="O147" s="13"/>
      <c r="P147" s="13"/>
      <c r="Q147" s="13" t="str">
        <f t="shared" si="101"/>
        <v>SWX2020REV</v>
      </c>
      <c r="R147" s="25">
        <f t="shared" si="102"/>
        <v>0.40940800085362483</v>
      </c>
      <c r="S147" s="25">
        <f t="shared" si="103"/>
        <v>0</v>
      </c>
      <c r="T147" s="25">
        <f t="shared" si="104"/>
        <v>1</v>
      </c>
      <c r="U147" s="25">
        <f t="shared" ref="U147:V147" si="105">IF(OR(ISBLANK($R147),ISBLANK(S147)),"NA",$R147*S147)</f>
        <v>0</v>
      </c>
      <c r="V147" s="25">
        <f t="shared" si="105"/>
        <v>0.40940800085362483</v>
      </c>
      <c r="W147" s="25"/>
      <c r="X147" s="25"/>
    </row>
    <row r="148" spans="1:24" x14ac:dyDescent="0.4">
      <c r="A148" s="13"/>
      <c r="B148" s="11"/>
      <c r="C148" s="12"/>
      <c r="D148" s="23"/>
      <c r="E148" s="37"/>
      <c r="F148" s="37"/>
      <c r="G148" s="151"/>
      <c r="H148" s="14"/>
      <c r="I148" s="14"/>
      <c r="J148" s="14"/>
      <c r="K148" s="14"/>
      <c r="L148" s="14"/>
      <c r="M148" s="14"/>
      <c r="N148" s="13"/>
      <c r="O148" s="13"/>
      <c r="P148" s="13"/>
      <c r="Q148" s="13"/>
      <c r="R148" s="13"/>
      <c r="S148" s="13"/>
      <c r="T148" s="13"/>
      <c r="U148" s="13"/>
      <c r="V148" s="13"/>
      <c r="W148" s="13"/>
      <c r="X148" s="13"/>
    </row>
    <row r="149" spans="1:24" x14ac:dyDescent="0.4">
      <c r="A149" s="13"/>
      <c r="B149" s="11"/>
      <c r="C149" s="12">
        <v>2022</v>
      </c>
      <c r="D149" s="23">
        <f>SUM(E149:G149)</f>
        <v>383341</v>
      </c>
      <c r="E149" s="144">
        <v>307685</v>
      </c>
      <c r="F149" s="144">
        <v>75656</v>
      </c>
      <c r="G149" s="30" t="s">
        <v>425</v>
      </c>
      <c r="H149" s="14"/>
      <c r="I149" s="14"/>
      <c r="J149" s="14"/>
      <c r="K149" s="14"/>
      <c r="L149" s="14"/>
      <c r="M149" s="14"/>
      <c r="N149" s="13"/>
      <c r="O149" s="13"/>
      <c r="P149" s="13"/>
      <c r="Q149" s="13" t="str">
        <f>$A$144&amp;C145&amp;"INC"</f>
        <v>SWX2022INC</v>
      </c>
      <c r="R149" s="25">
        <f>E149/D149</f>
        <v>0.80264046892975183</v>
      </c>
      <c r="S149" s="25">
        <f>0/E149</f>
        <v>0</v>
      </c>
      <c r="T149" s="25">
        <f>E149/E149</f>
        <v>1</v>
      </c>
      <c r="U149" s="25">
        <f>IF(OR(ISBLANK($R149),ISBLANK(S149)),"NA",$R149*S149)</f>
        <v>0</v>
      </c>
      <c r="V149" s="155">
        <f>IF(OR(ISBLANK($R149),ISBLANK(T149)),"NA",$R149*T149)</f>
        <v>0.80264046892975183</v>
      </c>
      <c r="W149" s="25"/>
      <c r="X149" s="25"/>
    </row>
    <row r="150" spans="1:24" x14ac:dyDescent="0.4">
      <c r="A150" s="13"/>
      <c r="B150" s="11" t="s">
        <v>109</v>
      </c>
      <c r="C150" s="12">
        <v>2021</v>
      </c>
      <c r="D150" s="23">
        <f>SUM(E150:G150)</f>
        <v>404143</v>
      </c>
      <c r="E150" s="144">
        <v>318592</v>
      </c>
      <c r="F150" s="144">
        <v>85551</v>
      </c>
      <c r="G150" s="30" t="s">
        <v>425</v>
      </c>
      <c r="H150" s="14"/>
      <c r="I150" s="14"/>
      <c r="J150" s="14"/>
      <c r="K150" s="14"/>
      <c r="L150" s="14"/>
      <c r="M150" s="14"/>
      <c r="N150" s="13"/>
      <c r="O150" s="13"/>
      <c r="P150" s="13"/>
      <c r="Q150" s="13" t="str">
        <f t="shared" ref="Q150:Q151" si="106">$A$144&amp;C146&amp;"INC"</f>
        <v>SWX2021INC</v>
      </c>
      <c r="R150" s="25">
        <f>E150/D150</f>
        <v>0.78831502710674195</v>
      </c>
      <c r="S150" s="25">
        <f>0/E150</f>
        <v>0</v>
      </c>
      <c r="T150" s="25">
        <f>E150/E150</f>
        <v>1</v>
      </c>
      <c r="U150" s="25">
        <f>IF(OR(ISBLANK($R150),ISBLANK(S150)),"NA",$R150*S150)</f>
        <v>0</v>
      </c>
      <c r="V150" s="155">
        <f>IF(OR(ISBLANK($R150),ISBLANK(T150)),"NA",$R150*T150)</f>
        <v>0.78831502710674195</v>
      </c>
      <c r="W150" s="25"/>
      <c r="X150" s="25"/>
    </row>
    <row r="151" spans="1:24" x14ac:dyDescent="0.4">
      <c r="A151" s="13"/>
      <c r="B151" s="11"/>
      <c r="C151" s="12">
        <v>2020</v>
      </c>
      <c r="D151" s="23">
        <f>SUM(E151:G151)</f>
        <v>423012</v>
      </c>
      <c r="E151" s="32">
        <v>302611</v>
      </c>
      <c r="F151" s="32">
        <v>122127</v>
      </c>
      <c r="G151" s="158">
        <v>-1726</v>
      </c>
      <c r="H151" s="14"/>
      <c r="I151" s="14"/>
      <c r="J151" s="14"/>
      <c r="K151" s="14"/>
      <c r="L151" s="14"/>
      <c r="M151" s="14"/>
      <c r="N151" s="13"/>
      <c r="O151" s="13"/>
      <c r="P151" s="13"/>
      <c r="Q151" s="13" t="str">
        <f t="shared" si="106"/>
        <v>SWX2020INC</v>
      </c>
      <c r="R151" s="25">
        <f>E151/D151</f>
        <v>0.71537214074305222</v>
      </c>
      <c r="S151" s="25">
        <f>0/E151</f>
        <v>0</v>
      </c>
      <c r="T151" s="25">
        <f>E151/E151</f>
        <v>1</v>
      </c>
      <c r="U151" s="25">
        <f t="shared" ref="U151:V151" si="107">IF(OR(ISBLANK($R151),ISBLANK(S151)),"NA",$R151*S151)</f>
        <v>0</v>
      </c>
      <c r="V151" s="155">
        <f t="shared" si="107"/>
        <v>0.71537214074305222</v>
      </c>
      <c r="W151" s="25"/>
      <c r="X151" s="25"/>
    </row>
    <row r="152" spans="1:24" x14ac:dyDescent="0.4">
      <c r="A152" s="13"/>
      <c r="B152" s="11"/>
      <c r="C152" s="12"/>
      <c r="D152" s="23"/>
      <c r="E152" s="37"/>
      <c r="F152" s="37"/>
      <c r="G152" s="38"/>
      <c r="H152" s="14"/>
      <c r="I152" s="14"/>
      <c r="J152" s="14"/>
      <c r="K152" s="14"/>
      <c r="L152" s="14"/>
      <c r="M152" s="14"/>
      <c r="N152" s="13"/>
      <c r="O152" s="13"/>
      <c r="P152" s="13"/>
      <c r="Q152" s="13"/>
      <c r="R152" s="13"/>
      <c r="S152" s="13"/>
      <c r="T152" s="13"/>
      <c r="U152" s="13"/>
      <c r="V152" s="13"/>
      <c r="W152" s="13"/>
      <c r="X152" s="13"/>
    </row>
    <row r="153" spans="1:24" x14ac:dyDescent="0.4">
      <c r="A153" s="13"/>
      <c r="B153" s="11"/>
      <c r="C153" s="12">
        <v>2022</v>
      </c>
      <c r="D153" s="23">
        <f>SUM(E153:G153)</f>
        <v>11453265</v>
      </c>
      <c r="E153" s="30">
        <v>8803681</v>
      </c>
      <c r="F153" s="30">
        <v>2642272</v>
      </c>
      <c r="G153" s="30">
        <v>7312</v>
      </c>
      <c r="H153" s="14"/>
      <c r="I153" s="14"/>
      <c r="J153" s="14"/>
      <c r="K153" s="14"/>
      <c r="L153" s="14"/>
      <c r="M153" s="14"/>
      <c r="N153" s="13"/>
      <c r="O153" s="13"/>
      <c r="P153" s="13"/>
      <c r="Q153" s="13" t="str">
        <f>$A$144&amp;C149&amp;"ASSETS"</f>
        <v>SWX2022ASSETS</v>
      </c>
      <c r="R153" s="25">
        <f>E153/D153</f>
        <v>0.76866125074378355</v>
      </c>
      <c r="S153" s="25">
        <f>0/E153</f>
        <v>0</v>
      </c>
      <c r="T153" s="25">
        <f>E153/E153</f>
        <v>1</v>
      </c>
      <c r="U153" s="25">
        <f>IF(OR(ISBLANK($R153),ISBLANK(S153)),"NA",$R153*S153)</f>
        <v>0</v>
      </c>
      <c r="V153" s="25">
        <f>IF(OR(ISBLANK($R153),ISBLANK(T153)),"NA",$R153*T153)</f>
        <v>0.76866125074378355</v>
      </c>
      <c r="W153" s="25"/>
      <c r="X153" s="25"/>
    </row>
    <row r="154" spans="1:24" x14ac:dyDescent="0.4">
      <c r="A154" s="13"/>
      <c r="B154" s="11" t="s">
        <v>110</v>
      </c>
      <c r="C154" s="12">
        <v>2021</v>
      </c>
      <c r="D154" s="23">
        <f t="shared" ref="D154:D155" si="108">SUM(E154:G154)</f>
        <v>10577675</v>
      </c>
      <c r="E154" s="30">
        <v>7950263</v>
      </c>
      <c r="F154" s="30">
        <v>2579748</v>
      </c>
      <c r="G154" s="30">
        <v>47664</v>
      </c>
      <c r="H154" s="14"/>
      <c r="I154" s="14"/>
      <c r="J154" s="14"/>
      <c r="K154" s="14"/>
      <c r="L154" s="14"/>
      <c r="M154" s="14"/>
      <c r="N154" s="13"/>
      <c r="O154" s="13"/>
      <c r="P154" s="13"/>
      <c r="Q154" s="13" t="str">
        <f>$A$144&amp;C150&amp;"ASSETS"</f>
        <v>SWX2021ASSETS</v>
      </c>
      <c r="R154" s="25">
        <f t="shared" ref="R154:R155" si="109">E154/D154</f>
        <v>0.75160779660936827</v>
      </c>
      <c r="S154" s="25">
        <f t="shared" ref="S154:S155" si="110">0/E154</f>
        <v>0</v>
      </c>
      <c r="T154" s="25">
        <f t="shared" ref="T154:T155" si="111">E154/E154</f>
        <v>1</v>
      </c>
      <c r="U154" s="25">
        <f>IF(OR(ISBLANK($R154),ISBLANK(S154)),"NA",$R154*S154)</f>
        <v>0</v>
      </c>
      <c r="V154" s="25">
        <f>IF(OR(ISBLANK($R154),ISBLANK(T154)),"NA",$R154*T154)</f>
        <v>0.75160779660936827</v>
      </c>
      <c r="W154" s="25"/>
      <c r="X154" s="25"/>
    </row>
    <row r="155" spans="1:24" x14ac:dyDescent="0.4">
      <c r="A155" s="13"/>
      <c r="B155" s="13"/>
      <c r="C155" s="12">
        <v>2020</v>
      </c>
      <c r="D155" s="23">
        <f t="shared" si="108"/>
        <v>8735853</v>
      </c>
      <c r="E155" s="32">
        <v>7256636</v>
      </c>
      <c r="F155" s="32">
        <v>1475237</v>
      </c>
      <c r="G155" s="38">
        <v>3980</v>
      </c>
      <c r="H155" s="14"/>
      <c r="I155" s="14"/>
      <c r="J155" s="14"/>
      <c r="K155" s="14"/>
      <c r="L155" s="14"/>
      <c r="M155" s="14"/>
      <c r="N155" s="13"/>
      <c r="O155" s="13"/>
      <c r="P155" s="13"/>
      <c r="Q155" s="13" t="str">
        <f>$A$144&amp;C151&amp;"ASSETS"</f>
        <v>SWX2020ASSETS</v>
      </c>
      <c r="R155" s="25">
        <f t="shared" si="109"/>
        <v>0.83067286045220767</v>
      </c>
      <c r="S155" s="25">
        <f t="shared" si="110"/>
        <v>0</v>
      </c>
      <c r="T155" s="25">
        <f t="shared" si="111"/>
        <v>1</v>
      </c>
      <c r="U155" s="25">
        <f t="shared" ref="U155:V155" si="112">IF(OR(ISBLANK($R155),ISBLANK(S155)),"NA",$R155*S155)</f>
        <v>0</v>
      </c>
      <c r="V155" s="25">
        <f t="shared" si="112"/>
        <v>0.83067286045220767</v>
      </c>
      <c r="W155" s="25"/>
      <c r="X155" s="25"/>
    </row>
    <row r="156" spans="1:24" x14ac:dyDescent="0.4">
      <c r="B156" s="137"/>
    </row>
    <row r="157" spans="1:24" x14ac:dyDescent="0.4">
      <c r="B157" s="137"/>
    </row>
    <row r="158" spans="1:24" x14ac:dyDescent="0.4">
      <c r="B158" s="137"/>
    </row>
    <row r="159" spans="1:24" x14ac:dyDescent="0.4">
      <c r="A159" s="172"/>
      <c r="N159" s="173"/>
    </row>
    <row r="160" spans="1:24" x14ac:dyDescent="0.4">
      <c r="A160" s="10" t="s">
        <v>431</v>
      </c>
      <c r="B160" s="11"/>
      <c r="C160" s="12"/>
      <c r="D160" s="13"/>
      <c r="E160" s="14"/>
      <c r="F160" s="14"/>
      <c r="G160" s="14"/>
      <c r="H160" s="14"/>
      <c r="I160" s="14"/>
      <c r="J160" s="14"/>
      <c r="K160" s="14"/>
      <c r="L160" s="14"/>
      <c r="M160" s="14"/>
      <c r="N160" s="13"/>
      <c r="O160" s="13"/>
      <c r="P160" s="13"/>
      <c r="Q160" s="13"/>
      <c r="R160" s="13"/>
      <c r="S160" s="13"/>
      <c r="T160" s="13"/>
      <c r="U160" s="13"/>
      <c r="V160" s="13"/>
      <c r="W160" s="13"/>
      <c r="X160" s="13"/>
    </row>
    <row r="161" spans="1:24" x14ac:dyDescent="0.4">
      <c r="A161" s="15" t="s">
        <v>432</v>
      </c>
      <c r="B161" s="11"/>
      <c r="C161" s="12"/>
      <c r="D161" s="13"/>
      <c r="E161" s="14"/>
      <c r="F161" s="14"/>
      <c r="G161" s="174"/>
      <c r="H161" s="175"/>
      <c r="I161" s="174"/>
      <c r="J161" s="175"/>
      <c r="K161" s="14"/>
      <c r="L161" s="14"/>
      <c r="M161" s="14"/>
      <c r="N161" s="13"/>
      <c r="O161" s="13"/>
      <c r="P161" s="13"/>
      <c r="Q161" s="13"/>
      <c r="R161" s="13"/>
      <c r="S161" s="13"/>
      <c r="T161" s="13"/>
      <c r="U161" s="13"/>
      <c r="V161" s="13"/>
      <c r="W161" s="13"/>
      <c r="X161" s="13"/>
    </row>
    <row r="162" spans="1:24" ht="36.9" x14ac:dyDescent="0.4">
      <c r="A162" s="10" t="s">
        <v>433</v>
      </c>
      <c r="B162" s="11"/>
      <c r="C162" s="12" t="s">
        <v>127</v>
      </c>
      <c r="D162" s="12" t="s">
        <v>96</v>
      </c>
      <c r="E162" s="26" t="s">
        <v>434</v>
      </c>
      <c r="F162" s="40" t="s">
        <v>435</v>
      </c>
      <c r="G162" s="26" t="s">
        <v>436</v>
      </c>
      <c r="H162" s="26" t="s">
        <v>437</v>
      </c>
      <c r="I162" s="26" t="s">
        <v>438</v>
      </c>
      <c r="J162" s="26" t="s">
        <v>101</v>
      </c>
      <c r="K162" s="26"/>
      <c r="L162" s="40"/>
      <c r="M162" s="14"/>
      <c r="N162" s="13"/>
      <c r="O162" s="13"/>
      <c r="P162" s="13"/>
      <c r="Q162" s="20"/>
      <c r="R162" s="21" t="s">
        <v>102</v>
      </c>
      <c r="S162" s="21" t="s">
        <v>103</v>
      </c>
      <c r="T162" s="21" t="s">
        <v>104</v>
      </c>
      <c r="U162" s="21" t="s">
        <v>105</v>
      </c>
      <c r="V162" s="21" t="s">
        <v>106</v>
      </c>
      <c r="W162" s="22"/>
      <c r="X162" s="22"/>
    </row>
    <row r="163" spans="1:24" x14ac:dyDescent="0.4">
      <c r="A163" s="13"/>
      <c r="B163" s="11"/>
      <c r="C163" s="12">
        <v>2022</v>
      </c>
      <c r="D163" s="23">
        <f>SUM(E163:M163)</f>
        <v>10106000</v>
      </c>
      <c r="E163" s="18">
        <v>2943000</v>
      </c>
      <c r="F163" s="18">
        <v>3686000</v>
      </c>
      <c r="G163" s="18">
        <v>1957000</v>
      </c>
      <c r="H163" s="144">
        <v>1515000</v>
      </c>
      <c r="I163" s="66">
        <v>5000</v>
      </c>
      <c r="J163" s="26">
        <v>0</v>
      </c>
      <c r="K163" s="26"/>
      <c r="L163" s="40"/>
      <c r="M163" s="14"/>
      <c r="N163" s="13"/>
      <c r="O163" s="13"/>
      <c r="P163" s="13"/>
      <c r="Q163" s="13" t="str">
        <f>$A$162&amp;C163&amp;"REV"</f>
        <v>UGI2022REV</v>
      </c>
      <c r="R163" s="25">
        <f>H163/D163</f>
        <v>0.14991094399366714</v>
      </c>
      <c r="S163" s="25">
        <f>0/H163</f>
        <v>0</v>
      </c>
      <c r="T163" s="25">
        <f>H163/H163</f>
        <v>1</v>
      </c>
      <c r="U163" s="25">
        <f>IF(OR(ISBLANK($R163),ISBLANK(S163)),"NA",$R163*S163)</f>
        <v>0</v>
      </c>
      <c r="V163" s="25">
        <f>IF(OR(ISBLANK($R163),ISBLANK(T163)),"NA",$R163*T163)</f>
        <v>0.14991094399366714</v>
      </c>
      <c r="W163" s="25"/>
      <c r="X163" s="25"/>
    </row>
    <row r="164" spans="1:24" x14ac:dyDescent="0.4">
      <c r="A164" s="13"/>
      <c r="B164" s="11" t="s">
        <v>107</v>
      </c>
      <c r="C164" s="12">
        <v>2021</v>
      </c>
      <c r="D164" s="23">
        <f>SUM(E164:M164)</f>
        <v>7447000</v>
      </c>
      <c r="E164" s="18">
        <v>2614000</v>
      </c>
      <c r="F164" s="18">
        <v>2651000</v>
      </c>
      <c r="G164" s="18">
        <v>1182000</v>
      </c>
      <c r="H164" s="144">
        <v>1015000</v>
      </c>
      <c r="I164" s="66">
        <f>-15000</f>
        <v>-15000</v>
      </c>
      <c r="J164" s="26" t="s">
        <v>108</v>
      </c>
      <c r="K164" s="24"/>
      <c r="L164" s="24"/>
      <c r="M164" s="14"/>
      <c r="N164" s="13"/>
      <c r="O164" s="13"/>
      <c r="P164" s="13"/>
      <c r="Q164" s="13" t="str">
        <f t="shared" ref="Q164:Q165" si="113">$A$162&amp;C164&amp;"REV"</f>
        <v>UGI2021REV</v>
      </c>
      <c r="R164" s="25">
        <f t="shared" ref="R164:R165" si="114">H164/D164</f>
        <v>0.13629649523297974</v>
      </c>
      <c r="S164" s="25">
        <f t="shared" ref="S164:S165" si="115">0/H164</f>
        <v>0</v>
      </c>
      <c r="T164" s="25">
        <f t="shared" ref="T164:T165" si="116">H164/H164</f>
        <v>1</v>
      </c>
      <c r="U164" s="25">
        <f>IF(OR(ISBLANK($R164),ISBLANK(S164)),"NA",$R164*S164)</f>
        <v>0</v>
      </c>
      <c r="V164" s="25">
        <f>IF(OR(ISBLANK($R164),ISBLANK(T164)),"NA",$R164*T164)</f>
        <v>0.13629649523297974</v>
      </c>
      <c r="W164" s="25"/>
      <c r="X164" s="25"/>
    </row>
    <row r="165" spans="1:24" x14ac:dyDescent="0.4">
      <c r="A165" s="13"/>
      <c r="B165" s="11"/>
      <c r="C165" s="12">
        <v>2020</v>
      </c>
      <c r="D165" s="23">
        <f>SUM(E165:M165)</f>
        <v>6559000</v>
      </c>
      <c r="E165" s="26">
        <v>2381000</v>
      </c>
      <c r="F165" s="40">
        <v>2127000</v>
      </c>
      <c r="G165" s="26">
        <v>1065000</v>
      </c>
      <c r="H165" s="26">
        <v>983000</v>
      </c>
      <c r="I165" s="26">
        <v>3000</v>
      </c>
      <c r="J165" s="26" t="s">
        <v>108</v>
      </c>
      <c r="K165" s="24"/>
      <c r="L165" s="24"/>
      <c r="M165" s="14"/>
      <c r="N165" s="13"/>
      <c r="O165" s="13"/>
      <c r="P165" s="13"/>
      <c r="Q165" s="13" t="str">
        <f t="shared" si="113"/>
        <v>UGI2020REV</v>
      </c>
      <c r="R165" s="25">
        <f t="shared" si="114"/>
        <v>0.14987040707424912</v>
      </c>
      <c r="S165" s="25">
        <f t="shared" si="115"/>
        <v>0</v>
      </c>
      <c r="T165" s="25">
        <f t="shared" si="116"/>
        <v>1</v>
      </c>
      <c r="U165" s="25">
        <f t="shared" ref="U165:V165" si="117">IF(OR(ISBLANK($R165),ISBLANK(S165)),"NA",$R165*S165)</f>
        <v>0</v>
      </c>
      <c r="V165" s="25">
        <f t="shared" si="117"/>
        <v>0.14987040707424912</v>
      </c>
      <c r="W165" s="25"/>
      <c r="X165" s="25"/>
    </row>
    <row r="166" spans="1:24" x14ac:dyDescent="0.4">
      <c r="A166" s="13"/>
      <c r="B166" s="11"/>
      <c r="C166" s="12"/>
      <c r="D166" s="13"/>
      <c r="E166" s="24"/>
      <c r="F166" s="24"/>
      <c r="G166" s="24"/>
      <c r="H166" s="24"/>
      <c r="I166" s="24"/>
      <c r="J166" s="24"/>
      <c r="K166" s="24"/>
      <c r="L166" s="24"/>
      <c r="M166" s="14"/>
      <c r="N166" s="13"/>
      <c r="O166" s="13"/>
      <c r="P166" s="13"/>
      <c r="Q166" s="13"/>
      <c r="R166" s="13"/>
      <c r="S166" s="13"/>
      <c r="T166" s="13"/>
      <c r="U166" s="13"/>
      <c r="V166" s="13"/>
      <c r="W166" s="13"/>
      <c r="X166" s="13"/>
    </row>
    <row r="167" spans="1:24" x14ac:dyDescent="0.4">
      <c r="A167" s="13"/>
      <c r="B167" s="11"/>
      <c r="C167" s="12">
        <v>2022</v>
      </c>
      <c r="D167" s="23">
        <f t="shared" ref="D167:D168" si="118">SUM(E167:M167)</f>
        <v>1666000</v>
      </c>
      <c r="E167" s="18">
        <v>307000</v>
      </c>
      <c r="F167" s="18">
        <v>237000</v>
      </c>
      <c r="G167" s="18">
        <v>246000</v>
      </c>
      <c r="H167" s="18">
        <v>327000</v>
      </c>
      <c r="I167" s="18">
        <v>549000</v>
      </c>
      <c r="J167" s="24">
        <v>0</v>
      </c>
      <c r="K167" s="24"/>
      <c r="L167" s="24"/>
      <c r="M167" s="14"/>
      <c r="N167" s="13"/>
      <c r="O167" s="13"/>
      <c r="P167" s="13"/>
      <c r="Q167" s="13" t="str">
        <f>$A$162&amp;C167&amp;"INC"</f>
        <v>UGI2022INC</v>
      </c>
      <c r="R167" s="25">
        <f>H167/D167</f>
        <v>0.19627851140456182</v>
      </c>
      <c r="S167" s="25">
        <f>0/H167</f>
        <v>0</v>
      </c>
      <c r="T167" s="25">
        <f>H167/H167</f>
        <v>1</v>
      </c>
      <c r="U167" s="25">
        <f>IF(OR(ISBLANK($R167),ISBLANK(S167)),"NA",$R167*S167)</f>
        <v>0</v>
      </c>
      <c r="V167" s="155">
        <f>IF(OR(ISBLANK($R167),ISBLANK(T167)),"NA",$R167*T167)</f>
        <v>0.19627851140456182</v>
      </c>
      <c r="W167" s="25"/>
      <c r="X167" s="25"/>
    </row>
    <row r="168" spans="1:24" x14ac:dyDescent="0.4">
      <c r="A168" s="13"/>
      <c r="B168" s="11" t="s">
        <v>109</v>
      </c>
      <c r="C168" s="12">
        <v>2021</v>
      </c>
      <c r="D168" s="23">
        <f t="shared" si="118"/>
        <v>1101250</v>
      </c>
      <c r="E168" s="18">
        <v>385000</v>
      </c>
      <c r="F168" s="18">
        <v>314000</v>
      </c>
      <c r="G168" s="18">
        <v>160000</v>
      </c>
      <c r="H168" s="18">
        <v>241000</v>
      </c>
      <c r="I168" s="18">
        <v>1250</v>
      </c>
      <c r="J168" s="24">
        <v>0</v>
      </c>
      <c r="K168" s="24"/>
      <c r="L168" s="24"/>
      <c r="M168" s="14"/>
      <c r="N168" s="13"/>
      <c r="O168" s="13"/>
      <c r="P168" s="13"/>
      <c r="Q168" s="13" t="str">
        <f t="shared" ref="Q168:Q169" si="119">$A$162&amp;C168&amp;"INC"</f>
        <v>UGI2021INC</v>
      </c>
      <c r="R168" s="25">
        <f t="shared" ref="R168:R169" si="120">H168/D168</f>
        <v>0.2188422247446084</v>
      </c>
      <c r="S168" s="25">
        <f t="shared" ref="S168:S169" si="121">0/H168</f>
        <v>0</v>
      </c>
      <c r="T168" s="25">
        <f t="shared" ref="T168:T169" si="122">H168/H168</f>
        <v>1</v>
      </c>
      <c r="U168" s="25">
        <f>IF(OR(ISBLANK($R168),ISBLANK(S168)),"NA",$R168*S168)</f>
        <v>0</v>
      </c>
      <c r="V168" s="155">
        <f>IF(OR(ISBLANK($R168),ISBLANK(T168)),"NA",$R168*T168)</f>
        <v>0.2188422247446084</v>
      </c>
      <c r="W168" s="25"/>
      <c r="X168" s="25"/>
    </row>
    <row r="169" spans="1:24" x14ac:dyDescent="0.4">
      <c r="A169" s="13"/>
      <c r="B169" s="11"/>
      <c r="C169" s="12">
        <v>2020</v>
      </c>
      <c r="D169" s="23">
        <f>SUM(E169:M169)</f>
        <v>982000</v>
      </c>
      <c r="E169" s="24">
        <v>373000</v>
      </c>
      <c r="F169" s="24">
        <v>241000</v>
      </c>
      <c r="G169" s="24">
        <v>140000</v>
      </c>
      <c r="H169" s="24">
        <v>229000</v>
      </c>
      <c r="I169" s="24">
        <v>-1000</v>
      </c>
      <c r="J169" s="24">
        <v>0</v>
      </c>
      <c r="K169" s="24"/>
      <c r="L169" s="24"/>
      <c r="M169" s="14"/>
      <c r="N169" s="13"/>
      <c r="O169" s="13"/>
      <c r="P169" s="13"/>
      <c r="Q169" s="13" t="str">
        <f t="shared" si="119"/>
        <v>UGI2020INC</v>
      </c>
      <c r="R169" s="25">
        <f t="shared" si="120"/>
        <v>0.23319755600814665</v>
      </c>
      <c r="S169" s="25">
        <f t="shared" si="121"/>
        <v>0</v>
      </c>
      <c r="T169" s="25">
        <f t="shared" si="122"/>
        <v>1</v>
      </c>
      <c r="U169" s="25">
        <f t="shared" ref="U169:V169" si="123">IF(OR(ISBLANK($R169),ISBLANK(S169)),"NA",$R169*S169)</f>
        <v>0</v>
      </c>
      <c r="V169" s="155">
        <f t="shared" si="123"/>
        <v>0.23319755600814665</v>
      </c>
      <c r="W169" s="25"/>
      <c r="X169" s="25"/>
    </row>
    <row r="170" spans="1:24" x14ac:dyDescent="0.4">
      <c r="A170" s="13"/>
      <c r="B170" s="11"/>
      <c r="C170" s="12"/>
      <c r="D170" s="46"/>
      <c r="E170" s="24"/>
      <c r="F170" s="24"/>
      <c r="G170" s="24"/>
      <c r="H170" s="24"/>
      <c r="I170" s="24"/>
      <c r="J170" s="24"/>
      <c r="K170" s="24"/>
      <c r="L170" s="24"/>
      <c r="M170" s="14"/>
      <c r="N170" s="13"/>
      <c r="O170" s="13"/>
      <c r="P170" s="13"/>
      <c r="Q170" s="13"/>
      <c r="R170" s="13"/>
      <c r="S170" s="13"/>
      <c r="T170" s="13"/>
      <c r="U170" s="13"/>
      <c r="V170" s="13"/>
      <c r="W170" s="13"/>
      <c r="X170" s="13"/>
    </row>
    <row r="171" spans="1:24" x14ac:dyDescent="0.4">
      <c r="A171" s="13"/>
      <c r="B171" s="12"/>
      <c r="C171" s="12">
        <v>2022</v>
      </c>
      <c r="D171" s="23">
        <f t="shared" ref="D171:D172" si="124">SUM(E171:M171)</f>
        <v>17575000</v>
      </c>
      <c r="E171" s="30">
        <v>4332000</v>
      </c>
      <c r="F171" s="30">
        <v>4610000</v>
      </c>
      <c r="G171" s="30">
        <v>3286000</v>
      </c>
      <c r="H171" s="30">
        <v>5354000</v>
      </c>
      <c r="I171" s="30">
        <v>196000</v>
      </c>
      <c r="J171" s="30">
        <v>-203000</v>
      </c>
      <c r="K171" s="24"/>
      <c r="L171" s="24"/>
      <c r="M171" s="14"/>
      <c r="N171" s="13"/>
      <c r="O171" s="13"/>
      <c r="P171" s="13"/>
      <c r="Q171" s="13" t="str">
        <f>$A$162&amp;C171&amp;"ASSETS"</f>
        <v>UGI2022ASSETS</v>
      </c>
      <c r="R171" s="25">
        <f>H171/D171</f>
        <v>0.30463726884779518</v>
      </c>
      <c r="S171" s="25">
        <f>0/H171</f>
        <v>0</v>
      </c>
      <c r="T171" s="25">
        <f>H171/H171</f>
        <v>1</v>
      </c>
      <c r="U171" s="25">
        <f>IF(OR(ISBLANK($R171),ISBLANK(S171)),"NA",$R171*S171)</f>
        <v>0</v>
      </c>
      <c r="V171" s="25">
        <f>IF(OR(ISBLANK($R171),ISBLANK(T171)),"NA",$R171*T171)</f>
        <v>0.30463726884779518</v>
      </c>
      <c r="W171" s="25"/>
      <c r="X171" s="25"/>
    </row>
    <row r="172" spans="1:24" x14ac:dyDescent="0.4">
      <c r="A172" s="13"/>
      <c r="B172" s="11" t="s">
        <v>110</v>
      </c>
      <c r="C172" s="12">
        <v>2021</v>
      </c>
      <c r="D172" s="23">
        <f t="shared" si="124"/>
        <v>16723000</v>
      </c>
      <c r="E172" s="30">
        <v>4485000</v>
      </c>
      <c r="F172" s="30">
        <v>4421000</v>
      </c>
      <c r="G172" s="30">
        <v>3010000</v>
      </c>
      <c r="H172" s="30">
        <v>4859000</v>
      </c>
      <c r="I172" s="30">
        <v>189000</v>
      </c>
      <c r="J172" s="30">
        <v>-241000</v>
      </c>
      <c r="K172" s="24"/>
      <c r="L172" s="24"/>
      <c r="M172" s="14"/>
      <c r="N172" s="13"/>
      <c r="O172" s="13"/>
      <c r="P172" s="13"/>
      <c r="Q172" s="13" t="str">
        <f t="shared" ref="Q172:Q173" si="125">$A$162&amp;C172&amp;"ASSETS"</f>
        <v>UGI2021ASSETS</v>
      </c>
      <c r="R172" s="25">
        <f t="shared" ref="R172:R173" si="126">H172/D172</f>
        <v>0.29055791424983557</v>
      </c>
      <c r="S172" s="25">
        <f t="shared" ref="S172:S173" si="127">0/H172</f>
        <v>0</v>
      </c>
      <c r="T172" s="25">
        <f t="shared" ref="T172:T173" si="128">H172/H172</f>
        <v>1</v>
      </c>
      <c r="U172" s="25">
        <f>IF(OR(ISBLANK($R172),ISBLANK(S172)),"NA",$R172*S172)</f>
        <v>0</v>
      </c>
      <c r="V172" s="25">
        <f>IF(OR(ISBLANK($R172),ISBLANK(T172)),"NA",$R172*T172)</f>
        <v>0.29055791424983557</v>
      </c>
      <c r="W172" s="25"/>
      <c r="X172" s="25"/>
    </row>
    <row r="173" spans="1:24" x14ac:dyDescent="0.4">
      <c r="A173" s="13"/>
      <c r="B173" s="13"/>
      <c r="C173" s="12">
        <v>2020</v>
      </c>
      <c r="D173" s="23">
        <f>SUM(E173:M173)</f>
        <v>13985000</v>
      </c>
      <c r="E173" s="29">
        <v>4327000</v>
      </c>
      <c r="F173" s="29">
        <v>3123000</v>
      </c>
      <c r="G173" s="29">
        <v>2775000</v>
      </c>
      <c r="H173" s="29">
        <v>3809000</v>
      </c>
      <c r="I173" s="29">
        <v>233000</v>
      </c>
      <c r="J173" s="29">
        <v>-282000</v>
      </c>
      <c r="K173" s="24"/>
      <c r="L173" s="24"/>
      <c r="M173" s="14"/>
      <c r="N173" s="13"/>
      <c r="O173" s="13"/>
      <c r="P173" s="13"/>
      <c r="Q173" s="13" t="str">
        <f t="shared" si="125"/>
        <v>UGI2020ASSETS</v>
      </c>
      <c r="R173" s="25">
        <f t="shared" si="126"/>
        <v>0.2723632463353593</v>
      </c>
      <c r="S173" s="25">
        <f t="shared" si="127"/>
        <v>0</v>
      </c>
      <c r="T173" s="25">
        <f t="shared" si="128"/>
        <v>1</v>
      </c>
      <c r="U173" s="25">
        <f t="shared" ref="U173:V173" si="129">IF(OR(ISBLANK($R173),ISBLANK(S173)),"NA",$R173*S173)</f>
        <v>0</v>
      </c>
      <c r="V173" s="25">
        <f t="shared" si="129"/>
        <v>0.2723632463353593</v>
      </c>
      <c r="W173" s="25"/>
      <c r="X173" s="25"/>
    </row>
    <row r="174" spans="1:24" x14ac:dyDescent="0.4">
      <c r="B174" s="137"/>
    </row>
    <row r="175" spans="1:24" x14ac:dyDescent="0.4">
      <c r="B175" s="137"/>
    </row>
    <row r="176" spans="1:24" x14ac:dyDescent="0.4">
      <c r="B176" s="137"/>
    </row>
    <row r="177" spans="1:26" x14ac:dyDescent="0.4">
      <c r="A177" s="172"/>
      <c r="N177" s="173"/>
    </row>
    <row r="178" spans="1:26" x14ac:dyDescent="0.4">
      <c r="A178" s="10" t="s">
        <v>13</v>
      </c>
      <c r="B178" s="13"/>
      <c r="C178" s="12"/>
      <c r="D178" s="13"/>
      <c r="E178" s="14"/>
      <c r="F178" s="14"/>
      <c r="G178" s="14"/>
      <c r="H178" s="14"/>
      <c r="I178" s="14"/>
      <c r="J178" s="14"/>
      <c r="K178" s="14"/>
      <c r="L178" s="14"/>
      <c r="M178" s="14"/>
      <c r="N178" s="13"/>
      <c r="O178" s="13"/>
      <c r="P178" s="13"/>
      <c r="Q178" s="13"/>
      <c r="R178" s="13"/>
    </row>
    <row r="179" spans="1:26" x14ac:dyDescent="0.4">
      <c r="A179" s="13" t="s">
        <v>362</v>
      </c>
      <c r="B179" s="13"/>
      <c r="C179" s="12"/>
      <c r="D179" s="13"/>
      <c r="E179" s="37"/>
      <c r="F179" s="37"/>
      <c r="G179" s="37"/>
      <c r="H179" s="37"/>
      <c r="I179" s="37"/>
      <c r="J179" s="37"/>
      <c r="K179" s="14"/>
      <c r="L179" s="14"/>
      <c r="M179" s="14"/>
      <c r="N179" s="13"/>
      <c r="O179" s="13"/>
      <c r="P179" s="13"/>
      <c r="Q179" s="13"/>
      <c r="R179" s="13"/>
    </row>
    <row r="180" spans="1:26" ht="36.9" x14ac:dyDescent="0.4">
      <c r="A180" s="10" t="s">
        <v>14</v>
      </c>
      <c r="B180" s="11"/>
      <c r="C180" s="12"/>
      <c r="D180" s="12" t="s">
        <v>96</v>
      </c>
      <c r="E180" s="33" t="s">
        <v>97</v>
      </c>
      <c r="F180" s="33" t="s">
        <v>98</v>
      </c>
      <c r="G180" s="33" t="s">
        <v>99</v>
      </c>
      <c r="H180" s="33" t="s">
        <v>100</v>
      </c>
      <c r="I180" s="33" t="s">
        <v>101</v>
      </c>
      <c r="J180" s="13"/>
      <c r="K180" s="14"/>
      <c r="L180" s="14"/>
      <c r="M180" s="14"/>
      <c r="N180" s="13"/>
      <c r="O180" s="13"/>
      <c r="P180" s="13"/>
      <c r="Q180" s="20"/>
      <c r="R180" s="21" t="s">
        <v>102</v>
      </c>
      <c r="S180" s="176" t="s">
        <v>103</v>
      </c>
      <c r="T180" s="176" t="s">
        <v>104</v>
      </c>
      <c r="U180" s="176" t="s">
        <v>105</v>
      </c>
      <c r="V180" s="176" t="s">
        <v>106</v>
      </c>
      <c r="W180" s="177"/>
      <c r="X180" s="177"/>
    </row>
    <row r="181" spans="1:26" ht="12.6" x14ac:dyDescent="0.45">
      <c r="A181" s="13"/>
      <c r="B181" s="11"/>
      <c r="C181" s="12">
        <v>2022</v>
      </c>
      <c r="D181" s="23">
        <f>SUM(E181:I181)</f>
        <v>1570700</v>
      </c>
      <c r="E181" s="33">
        <v>1259300</v>
      </c>
      <c r="F181" s="33">
        <v>118300</v>
      </c>
      <c r="G181" s="35">
        <v>0</v>
      </c>
      <c r="H181" s="35">
        <v>193100</v>
      </c>
      <c r="I181" s="35">
        <v>0</v>
      </c>
      <c r="J181" s="13"/>
      <c r="K181" s="14"/>
      <c r="L181" s="14"/>
      <c r="M181" s="14"/>
      <c r="N181" s="13"/>
      <c r="O181" s="13"/>
      <c r="P181" s="13"/>
      <c r="Q181" s="13" t="str">
        <f>$A$180&amp;C181&amp;"REV"</f>
        <v>ALE2022REV</v>
      </c>
      <c r="R181" s="47">
        <f>E181/D181</f>
        <v>0.80174444515184318</v>
      </c>
      <c r="S181" s="131">
        <v>0.97436057214415916</v>
      </c>
      <c r="T181" s="131">
        <v>1.79388155306568E-2</v>
      </c>
      <c r="U181" s="178">
        <f>IF(OR(ISBLANK($R181),ISBLANK(S181)),"NA",$R181*S181)</f>
        <v>0.78118817629155135</v>
      </c>
      <c r="V181" s="178">
        <f>IF(OR(ISBLANK($R181),ISBLANK(T181)),"NA",$R181*T181)</f>
        <v>1.4382345704307704E-2</v>
      </c>
      <c r="W181" s="178"/>
      <c r="X181" s="178"/>
    </row>
    <row r="182" spans="1:26" ht="12.6" x14ac:dyDescent="0.45">
      <c r="A182" s="13"/>
      <c r="B182" s="11" t="s">
        <v>107</v>
      </c>
      <c r="C182" s="12">
        <v>2021</v>
      </c>
      <c r="D182" s="23">
        <f>SUM(E182:I182)</f>
        <v>1419200</v>
      </c>
      <c r="E182" s="33">
        <v>1227900</v>
      </c>
      <c r="F182" s="33">
        <v>86900</v>
      </c>
      <c r="G182" s="35">
        <v>0</v>
      </c>
      <c r="H182" s="35">
        <v>104400</v>
      </c>
      <c r="I182" s="35">
        <v>0</v>
      </c>
      <c r="J182" s="13"/>
      <c r="K182" s="14"/>
      <c r="L182" s="14"/>
      <c r="M182" s="14"/>
      <c r="N182" s="13"/>
      <c r="O182" s="13"/>
      <c r="P182" s="13"/>
      <c r="Q182" s="13" t="str">
        <f>$A$180&amp;C182&amp;"REV"</f>
        <v>ALE2021REV</v>
      </c>
      <c r="R182" s="47">
        <f>E182/D182</f>
        <v>0.86520574971815112</v>
      </c>
      <c r="S182" s="131">
        <v>0.97718208863666467</v>
      </c>
      <c r="T182" s="131">
        <v>1.4947048658847439E-2</v>
      </c>
      <c r="U182" s="178">
        <f t="shared" ref="U182:V183" si="130">IF(OR(ISBLANK($R182),ISBLANK(S182)),"NA",$R182*S182)</f>
        <v>0.84546356161003422</v>
      </c>
      <c r="V182" s="178">
        <f t="shared" si="130"/>
        <v>1.2932272440951784E-2</v>
      </c>
      <c r="W182" s="178"/>
      <c r="X182" s="178"/>
    </row>
    <row r="183" spans="1:26" ht="12.6" x14ac:dyDescent="0.45">
      <c r="A183" s="13"/>
      <c r="B183" s="11"/>
      <c r="C183" s="12">
        <v>2020</v>
      </c>
      <c r="D183" s="23">
        <f t="shared" ref="D183" si="131">SUM(E183:I183)</f>
        <v>1169100</v>
      </c>
      <c r="E183" s="33">
        <v>987300</v>
      </c>
      <c r="F183" s="33">
        <v>79600</v>
      </c>
      <c r="G183" s="35">
        <v>0</v>
      </c>
      <c r="H183" s="35">
        <v>102200</v>
      </c>
      <c r="I183" s="35">
        <v>0</v>
      </c>
      <c r="J183" s="13"/>
      <c r="K183" s="14"/>
      <c r="L183" s="14"/>
      <c r="M183" s="14"/>
      <c r="N183" s="13"/>
      <c r="O183" s="13"/>
      <c r="P183" s="13"/>
      <c r="Q183" s="13" t="str">
        <f>$A$180&amp;C183&amp;"REV"</f>
        <v>ALE2020REV</v>
      </c>
      <c r="R183" s="47">
        <f>E183/D183</f>
        <v>0.84449576597382603</v>
      </c>
      <c r="S183" s="131">
        <v>0.97689344694095526</v>
      </c>
      <c r="T183" s="131">
        <v>1.3541087714041302E-2</v>
      </c>
      <c r="U183" s="178">
        <f t="shared" si="130"/>
        <v>0.82498237974921318</v>
      </c>
      <c r="V183" s="178">
        <f t="shared" si="130"/>
        <v>1.1435391241188074E-2</v>
      </c>
      <c r="W183" s="178"/>
      <c r="X183" s="178"/>
    </row>
    <row r="184" spans="1:26" x14ac:dyDescent="0.4">
      <c r="A184" s="13"/>
      <c r="B184" s="11"/>
      <c r="D184" s="13"/>
      <c r="E184" s="37"/>
      <c r="F184" s="37"/>
      <c r="G184" s="32"/>
      <c r="H184" s="32"/>
      <c r="I184" s="13"/>
      <c r="J184" s="13"/>
      <c r="K184" s="14"/>
      <c r="L184" s="14"/>
      <c r="M184" s="14"/>
      <c r="N184" s="13"/>
      <c r="O184" s="13"/>
      <c r="P184" s="13"/>
      <c r="Q184" s="13"/>
      <c r="R184" s="13"/>
      <c r="Z184" s="179"/>
    </row>
    <row r="185" spans="1:26" ht="12.6" x14ac:dyDescent="0.45">
      <c r="A185" s="13"/>
      <c r="B185" s="11"/>
      <c r="C185" s="12">
        <v>2022</v>
      </c>
      <c r="D185" s="45">
        <f>SUM(E185:I185)</f>
        <v>134200</v>
      </c>
      <c r="E185" s="37">
        <v>168500</v>
      </c>
      <c r="F185" s="37">
        <v>-55000</v>
      </c>
      <c r="G185" s="32">
        <v>0</v>
      </c>
      <c r="H185" s="18">
        <f>23100+19600-5400</f>
        <v>37300</v>
      </c>
      <c r="I185" s="32">
        <v>-16600</v>
      </c>
      <c r="J185" s="45"/>
      <c r="L185" s="14"/>
      <c r="M185" s="14"/>
      <c r="N185" s="13"/>
      <c r="O185" s="13"/>
      <c r="P185" s="13"/>
      <c r="Q185" s="13" t="str">
        <f>$A$180&amp;C185&amp;"INC"</f>
        <v>ALE2022INC</v>
      </c>
      <c r="R185" s="47">
        <f>IF(E185/D185&gt;100%, 100%, E185/D185)</f>
        <v>1</v>
      </c>
      <c r="S185" s="131">
        <v>0.98101899778965329</v>
      </c>
      <c r="T185" s="131">
        <v>4.3199686634397471E-3</v>
      </c>
      <c r="U185" s="178">
        <f>IF(OR(ISBLANK($R185),ISBLANK(S185)),"NA",$R185*S185)</f>
        <v>0.98101899778965329</v>
      </c>
      <c r="V185" s="178">
        <f>IF(OR(ISBLANK($R185),ISBLANK(T185)),"NA",$R185*T185)</f>
        <v>4.3199686634397471E-3</v>
      </c>
      <c r="W185" s="178"/>
      <c r="X185" s="178"/>
    </row>
    <row r="186" spans="1:26" ht="12.6" x14ac:dyDescent="0.45">
      <c r="A186" s="13"/>
      <c r="B186" s="11" t="s">
        <v>109</v>
      </c>
      <c r="C186" s="12">
        <v>2021</v>
      </c>
      <c r="D186" s="23">
        <f>SUM(E186:I186)</f>
        <v>151300</v>
      </c>
      <c r="E186" s="37">
        <v>142600</v>
      </c>
      <c r="F186" s="37">
        <v>-13900</v>
      </c>
      <c r="G186" s="32">
        <v>0</v>
      </c>
      <c r="H186" s="32">
        <f>13800+6300+13200</f>
        <v>33300</v>
      </c>
      <c r="I186" s="32">
        <v>-10700</v>
      </c>
      <c r="J186" s="37"/>
      <c r="K186" s="14"/>
      <c r="L186" s="14"/>
      <c r="M186" s="14"/>
      <c r="N186" s="13"/>
      <c r="O186" s="13"/>
      <c r="P186" s="13"/>
      <c r="Q186" s="13" t="str">
        <f>$A$180&amp;C186&amp;"INC"</f>
        <v>ALE2021INC</v>
      </c>
      <c r="R186" s="47">
        <f t="shared" ref="R186:R187" si="132">IF(E186/D186&gt;100%, 100%, E186/D186)</f>
        <v>0.94249834765366824</v>
      </c>
      <c r="S186" s="131">
        <v>0.97912174739858848</v>
      </c>
      <c r="T186" s="131">
        <v>1.4329525518608295E-3</v>
      </c>
      <c r="U186" s="178">
        <f t="shared" ref="U186:V187" si="133">IF(OR(ISBLANK($R186),ISBLANK(S186)),"NA",$R186*S186)</f>
        <v>0.922820629074942</v>
      </c>
      <c r="V186" s="178">
        <f t="shared" si="133"/>
        <v>1.3505554123949392E-3</v>
      </c>
      <c r="W186" s="178"/>
      <c r="X186" s="178"/>
    </row>
    <row r="187" spans="1:26" ht="12.6" x14ac:dyDescent="0.45">
      <c r="A187" s="13"/>
      <c r="B187" s="11"/>
      <c r="C187" s="12">
        <v>2020</v>
      </c>
      <c r="D187" s="23">
        <f t="shared" ref="D187" si="134">SUM(E187:I187)</f>
        <v>150900</v>
      </c>
      <c r="E187" s="37">
        <v>143200</v>
      </c>
      <c r="F187" s="37">
        <v>1000</v>
      </c>
      <c r="G187" s="32">
        <v>0</v>
      </c>
      <c r="H187" s="32">
        <v>20200</v>
      </c>
      <c r="I187" s="32">
        <v>-13500</v>
      </c>
      <c r="J187" s="37"/>
      <c r="K187" s="14"/>
      <c r="L187" s="14"/>
      <c r="M187" s="14"/>
      <c r="N187" s="13"/>
      <c r="O187" s="13"/>
      <c r="P187" s="13"/>
      <c r="Q187" s="13" t="str">
        <f>$A$180&amp;C187&amp;"INC"</f>
        <v>ALE2020INC</v>
      </c>
      <c r="R187" s="47">
        <f t="shared" si="132"/>
        <v>0.94897282968853547</v>
      </c>
      <c r="S187" s="131">
        <v>0.97277027958033424</v>
      </c>
      <c r="T187" s="131">
        <v>6.0627136548846178E-3</v>
      </c>
      <c r="U187" s="178">
        <f t="shared" si="133"/>
        <v>0.92313256485025752</v>
      </c>
      <c r="V187" s="178">
        <f t="shared" si="133"/>
        <v>5.7533505326671786E-3</v>
      </c>
      <c r="W187" s="178"/>
      <c r="X187" s="178"/>
    </row>
    <row r="188" spans="1:26" x14ac:dyDescent="0.4">
      <c r="A188" s="13"/>
      <c r="B188" s="11"/>
      <c r="D188" s="46"/>
      <c r="E188" s="37"/>
      <c r="F188" s="37"/>
      <c r="G188" s="32"/>
      <c r="H188" s="32"/>
      <c r="I188" s="32"/>
      <c r="J188" s="37"/>
      <c r="K188" s="14"/>
      <c r="L188" s="14"/>
      <c r="M188" s="14"/>
      <c r="N188" s="13"/>
      <c r="O188" s="13"/>
      <c r="P188" s="13"/>
      <c r="Q188" s="13"/>
      <c r="R188" s="13"/>
      <c r="Z188" s="179"/>
    </row>
    <row r="189" spans="1:26" ht="12.6" x14ac:dyDescent="0.45">
      <c r="A189" s="13"/>
      <c r="B189" s="11"/>
      <c r="C189" s="12">
        <v>2022</v>
      </c>
      <c r="D189" s="23">
        <f>SUM(E189:I189)</f>
        <v>6845600</v>
      </c>
      <c r="E189" s="32">
        <v>4291400</v>
      </c>
      <c r="F189" s="32">
        <v>1873300</v>
      </c>
      <c r="G189" s="32">
        <v>0</v>
      </c>
      <c r="H189" s="32">
        <v>680900</v>
      </c>
      <c r="I189" s="32"/>
      <c r="K189" s="14"/>
      <c r="L189" s="14"/>
      <c r="M189" s="14"/>
      <c r="N189" s="13"/>
      <c r="O189" s="13"/>
      <c r="P189" s="13"/>
      <c r="Q189" s="13" t="str">
        <f>$A$180&amp;C189&amp;"ASSETS"</f>
        <v>ALE2022ASSETS</v>
      </c>
      <c r="R189" s="47">
        <f>E189/D189</f>
        <v>0.62688442211055273</v>
      </c>
      <c r="S189" s="131">
        <v>0.98196279915713669</v>
      </c>
      <c r="T189" s="131">
        <v>5.97130649345379E-3</v>
      </c>
      <c r="U189" s="178">
        <f>IF(OR(ISBLANK($R189),ISBLANK(S189)),"NA",$R189*S189)</f>
        <v>0.61557718188368238</v>
      </c>
      <c r="V189" s="178">
        <f>IF(OR(ISBLANK($R189),ISBLANK(T189)),"NA",$R189*T189)</f>
        <v>3.7433190203937702E-3</v>
      </c>
      <c r="W189" s="178"/>
      <c r="X189" s="178"/>
    </row>
    <row r="190" spans="1:26" ht="12.6" x14ac:dyDescent="0.45">
      <c r="A190" s="13"/>
      <c r="B190" s="13" t="s">
        <v>110</v>
      </c>
      <c r="C190" s="12">
        <v>2021</v>
      </c>
      <c r="D190" s="23">
        <f>SUM(E190:I190)</f>
        <v>6435000</v>
      </c>
      <c r="E190" s="32">
        <v>4289400</v>
      </c>
      <c r="F190" s="32">
        <v>1719400</v>
      </c>
      <c r="G190" s="32">
        <v>0</v>
      </c>
      <c r="H190" s="32">
        <v>426200</v>
      </c>
      <c r="I190" s="32"/>
      <c r="J190" s="37"/>
      <c r="K190" s="14"/>
      <c r="L190" s="14"/>
      <c r="M190" s="14"/>
      <c r="N190" s="13"/>
      <c r="O190" s="13"/>
      <c r="P190" s="13"/>
      <c r="Q190" s="13" t="str">
        <f>$A$180&amp;C190&amp;"ASSETS"</f>
        <v>ALE2021ASSETS</v>
      </c>
      <c r="R190" s="47">
        <f>E190/D190</f>
        <v>0.66657342657342655</v>
      </c>
      <c r="S190" s="131">
        <v>0.98261582857132346</v>
      </c>
      <c r="T190" s="131">
        <v>5.5360088870415091E-3</v>
      </c>
      <c r="U190" s="178">
        <f t="shared" ref="U190:V191" si="135">IF(OR(ISBLANK($R190),ISBLANK(S190)),"NA",$R190*S190)</f>
        <v>0.65498559985607374</v>
      </c>
      <c r="V190" s="178">
        <f t="shared" si="135"/>
        <v>3.6901564133762E-3</v>
      </c>
      <c r="W190" s="178"/>
      <c r="X190" s="178"/>
    </row>
    <row r="191" spans="1:26" ht="12.6" x14ac:dyDescent="0.45">
      <c r="A191" s="13"/>
      <c r="B191" s="13"/>
      <c r="C191" s="12">
        <v>2020</v>
      </c>
      <c r="D191" s="23">
        <f t="shared" ref="D191" si="136">SUM(E191:I191)</f>
        <v>6084600</v>
      </c>
      <c r="E191" s="32">
        <v>4196800</v>
      </c>
      <c r="F191" s="32">
        <v>1483300</v>
      </c>
      <c r="G191" s="32">
        <v>0</v>
      </c>
      <c r="H191" s="32">
        <v>404500</v>
      </c>
      <c r="I191" s="32"/>
      <c r="J191" s="37"/>
      <c r="K191" s="14"/>
      <c r="L191" s="14"/>
      <c r="M191" s="14"/>
      <c r="N191" s="13"/>
      <c r="O191" s="13"/>
      <c r="P191" s="13"/>
      <c r="Q191" s="13" t="str">
        <f>$A$180&amp;C191&amp;"ASSETS"</f>
        <v>ALE2020ASSETS</v>
      </c>
      <c r="R191" s="47">
        <f>E191/D191</f>
        <v>0.68974131413733031</v>
      </c>
      <c r="S191" s="131">
        <v>0.98249752577616245</v>
      </c>
      <c r="T191" s="131">
        <v>5.5472205581138774E-3</v>
      </c>
      <c r="U191" s="178">
        <f t="shared" si="135"/>
        <v>0.6776691345655258</v>
      </c>
      <c r="V191" s="178">
        <f t="shared" si="135"/>
        <v>3.8261471975630807E-3</v>
      </c>
      <c r="W191" s="178"/>
      <c r="X191" s="178"/>
    </row>
    <row r="192" spans="1:26" x14ac:dyDescent="0.4">
      <c r="D192" s="180"/>
      <c r="R192" s="133"/>
      <c r="U192" s="181"/>
      <c r="Z192" s="179"/>
    </row>
    <row r="193" spans="1:26" x14ac:dyDescent="0.4">
      <c r="D193" s="182"/>
    </row>
    <row r="196" spans="1:26" x14ac:dyDescent="0.4">
      <c r="A196" s="10" t="s">
        <v>18</v>
      </c>
      <c r="B196" s="11"/>
      <c r="C196" s="12"/>
      <c r="D196" s="13"/>
      <c r="E196" s="37"/>
      <c r="F196" s="37"/>
      <c r="G196" s="37"/>
      <c r="H196" s="37"/>
      <c r="I196" s="14"/>
      <c r="J196" s="14"/>
      <c r="K196" s="14"/>
      <c r="L196" s="14"/>
      <c r="M196" s="14"/>
      <c r="N196" s="13"/>
      <c r="O196" s="13"/>
      <c r="P196" s="13"/>
      <c r="Q196" s="13"/>
      <c r="R196" s="13"/>
      <c r="S196" s="13"/>
      <c r="T196" s="13"/>
      <c r="U196" s="13"/>
      <c r="V196" s="13"/>
      <c r="W196" s="13"/>
      <c r="X196" s="13"/>
    </row>
    <row r="197" spans="1:26" x14ac:dyDescent="0.4">
      <c r="A197" s="13" t="s">
        <v>439</v>
      </c>
      <c r="B197" s="11"/>
      <c r="C197" s="12"/>
      <c r="D197" s="13"/>
      <c r="E197" s="37"/>
      <c r="F197" s="37"/>
      <c r="G197" s="37"/>
      <c r="H197" s="37"/>
      <c r="I197" s="14"/>
      <c r="J197" s="14"/>
      <c r="K197" s="14"/>
      <c r="L197" s="14"/>
      <c r="M197" s="14"/>
      <c r="N197" s="13"/>
      <c r="O197" s="13"/>
      <c r="P197" s="13"/>
      <c r="Q197" s="13"/>
      <c r="R197" s="13"/>
      <c r="S197" s="13"/>
      <c r="T197" s="13"/>
      <c r="U197" s="13"/>
      <c r="V197" s="13"/>
      <c r="W197" s="13"/>
      <c r="X197" s="13"/>
    </row>
    <row r="198" spans="1:26" x14ac:dyDescent="0.4">
      <c r="A198" s="10"/>
      <c r="B198" s="11"/>
      <c r="C198" s="12"/>
      <c r="D198" s="13"/>
      <c r="E198" s="37" t="s">
        <v>111</v>
      </c>
      <c r="F198" s="37"/>
      <c r="G198" s="37"/>
      <c r="H198" s="37" t="s">
        <v>112</v>
      </c>
      <c r="I198" s="14"/>
      <c r="J198" s="14"/>
      <c r="K198" s="14"/>
      <c r="L198" s="14"/>
      <c r="M198" s="14"/>
      <c r="N198" s="13"/>
      <c r="O198" s="13"/>
      <c r="P198" s="13"/>
      <c r="Q198" s="13"/>
      <c r="R198" s="13"/>
      <c r="S198" s="13"/>
      <c r="T198" s="13"/>
      <c r="U198" s="13"/>
      <c r="V198" s="13"/>
      <c r="W198" s="13"/>
      <c r="X198" s="13"/>
    </row>
    <row r="199" spans="1:26" ht="36.9" x14ac:dyDescent="0.4">
      <c r="A199" s="10" t="s">
        <v>19</v>
      </c>
      <c r="B199" s="11"/>
      <c r="C199" s="12"/>
      <c r="D199" s="12" t="s">
        <v>96</v>
      </c>
      <c r="E199" s="33" t="s">
        <v>113</v>
      </c>
      <c r="F199" s="33" t="s">
        <v>114</v>
      </c>
      <c r="G199" s="33" t="s">
        <v>115</v>
      </c>
      <c r="H199" s="26" t="s">
        <v>116</v>
      </c>
      <c r="I199" s="14"/>
      <c r="J199" s="14"/>
      <c r="K199" s="14"/>
      <c r="L199" s="14"/>
      <c r="M199" s="14"/>
      <c r="N199" s="13"/>
      <c r="O199" s="13"/>
      <c r="P199" s="13"/>
      <c r="Q199" s="20"/>
      <c r="R199" s="21" t="s">
        <v>102</v>
      </c>
      <c r="S199" s="21" t="s">
        <v>103</v>
      </c>
      <c r="T199" s="21" t="s">
        <v>104</v>
      </c>
      <c r="U199" s="21" t="s">
        <v>105</v>
      </c>
      <c r="V199" s="21" t="s">
        <v>106</v>
      </c>
      <c r="W199" s="22"/>
      <c r="X199" s="22"/>
    </row>
    <row r="200" spans="1:26" x14ac:dyDescent="0.4">
      <c r="A200" s="13"/>
      <c r="B200" s="11"/>
      <c r="C200" s="12">
        <v>2022</v>
      </c>
      <c r="D200" s="23">
        <f>SUM(E200:H200)</f>
        <v>4205000</v>
      </c>
      <c r="E200" s="33">
        <v>3421000</v>
      </c>
      <c r="F200" s="33">
        <v>642000</v>
      </c>
      <c r="G200" s="33">
        <v>49000</v>
      </c>
      <c r="H200" s="26">
        <v>93000</v>
      </c>
      <c r="I200" s="14"/>
      <c r="J200" s="14"/>
      <c r="K200" s="14"/>
      <c r="L200" s="14"/>
      <c r="M200" s="14"/>
      <c r="N200" s="13"/>
      <c r="O200" s="13"/>
      <c r="P200" s="13"/>
      <c r="Q200" s="13" t="str">
        <f>$A$199&amp;C200&amp;"REV"</f>
        <v>LNT2022REV</v>
      </c>
      <c r="R200" s="47">
        <f>SUM(E200:G200)/D200</f>
        <v>0.97788347205707493</v>
      </c>
      <c r="S200" s="47">
        <f>E200/SUM(E200:G200)</f>
        <v>0.83195525291828798</v>
      </c>
      <c r="T200" s="47">
        <f>F200/SUM(E200:G200)</f>
        <v>0.1561284046692607</v>
      </c>
      <c r="U200" s="25">
        <f>IF(OR(ISBLANK($R200),ISBLANK(S200)),"NA",$R200*S200)</f>
        <v>0.81355529131985738</v>
      </c>
      <c r="V200" s="25">
        <f>IF(OR(ISBLANK($R200),ISBLANK(T200)),"NA",$R200*T200)</f>
        <v>0.15267538644470868</v>
      </c>
      <c r="W200" s="25"/>
      <c r="X200" s="25"/>
    </row>
    <row r="201" spans="1:26" x14ac:dyDescent="0.4">
      <c r="A201" s="13"/>
      <c r="B201" s="11" t="s">
        <v>107</v>
      </c>
      <c r="C201" s="12">
        <v>2021</v>
      </c>
      <c r="D201" s="23">
        <f>SUM(E201:H201)</f>
        <v>3669000</v>
      </c>
      <c r="E201" s="33">
        <v>3081000</v>
      </c>
      <c r="F201" s="33">
        <v>456000</v>
      </c>
      <c r="G201" s="33">
        <v>49000</v>
      </c>
      <c r="H201" s="26">
        <v>83000</v>
      </c>
      <c r="I201" s="14"/>
      <c r="J201" s="14"/>
      <c r="K201" s="14"/>
      <c r="L201" s="14"/>
      <c r="M201" s="14"/>
      <c r="N201" s="13"/>
      <c r="O201" s="13"/>
      <c r="P201" s="13"/>
      <c r="Q201" s="13" t="str">
        <f>$A$199&amp;C201&amp;"REV"</f>
        <v>LNT2021REV</v>
      </c>
      <c r="R201" s="47">
        <f>SUM(E201:G201)/D201</f>
        <v>0.97737803216135188</v>
      </c>
      <c r="S201" s="47">
        <f>E201/SUM(E201:G201)</f>
        <v>0.85917456776352485</v>
      </c>
      <c r="T201" s="47">
        <f>F201/SUM(E201:G201)</f>
        <v>0.12716118237590629</v>
      </c>
      <c r="U201" s="25">
        <f>IF(OR(ISBLANK($R201),ISBLANK(S201)),"NA",$R201*S201)</f>
        <v>0.83973834832379401</v>
      </c>
      <c r="V201" s="25">
        <f>IF(OR(ISBLANK($R201),ISBLANK(T201)),"NA",$R201*T201)</f>
        <v>0.12428454619787407</v>
      </c>
      <c r="W201" s="25"/>
      <c r="X201" s="25"/>
    </row>
    <row r="202" spans="1:26" x14ac:dyDescent="0.4">
      <c r="A202" s="13"/>
      <c r="B202" s="11"/>
      <c r="C202" s="12">
        <v>2020</v>
      </c>
      <c r="D202" s="23">
        <f t="shared" ref="D202:D210" si="137">SUM(E202:H202)</f>
        <v>3416000</v>
      </c>
      <c r="E202" s="33">
        <v>2920000</v>
      </c>
      <c r="F202" s="33">
        <v>373000</v>
      </c>
      <c r="G202" s="33">
        <v>49000</v>
      </c>
      <c r="H202" s="26">
        <v>74000</v>
      </c>
      <c r="I202" s="14"/>
      <c r="J202" s="14"/>
      <c r="K202" s="14"/>
      <c r="L202" s="14"/>
      <c r="M202" s="14"/>
      <c r="N202" s="13"/>
      <c r="O202" s="13"/>
      <c r="P202" s="13"/>
      <c r="Q202" s="13" t="str">
        <f>$A$199&amp;C202&amp;"REV"</f>
        <v>LNT2020REV</v>
      </c>
      <c r="R202" s="47">
        <f>SUM(E202:G202)/D202</f>
        <v>0.97833723653395788</v>
      </c>
      <c r="S202" s="47">
        <f t="shared" ref="S202:S210" si="138">E202/SUM(E202:G202)</f>
        <v>0.87372830640335131</v>
      </c>
      <c r="T202" s="47">
        <f>F202/SUM(E202:G202)</f>
        <v>0.1116098144823459</v>
      </c>
      <c r="U202" s="25">
        <f t="shared" ref="U202:V202" si="139">IF(OR(ISBLANK($R202),ISBLANK(S202)),"NA",$R202*S202)</f>
        <v>0.85480093676814994</v>
      </c>
      <c r="V202" s="25">
        <f t="shared" si="139"/>
        <v>0.10919203747072601</v>
      </c>
      <c r="W202" s="25"/>
      <c r="X202" s="25"/>
      <c r="Z202" s="179"/>
    </row>
    <row r="203" spans="1:26" x14ac:dyDescent="0.4">
      <c r="A203" s="13"/>
      <c r="B203" s="11"/>
      <c r="D203" s="23"/>
      <c r="E203" s="37"/>
      <c r="F203" s="37"/>
      <c r="G203" s="37"/>
      <c r="H203" s="37"/>
      <c r="I203" s="14"/>
      <c r="J203" s="14"/>
      <c r="K203" s="14"/>
      <c r="L203" s="14"/>
      <c r="M203" s="14"/>
      <c r="N203" s="13"/>
      <c r="O203" s="13"/>
      <c r="P203" s="13"/>
      <c r="Q203" s="13"/>
      <c r="R203" s="13"/>
      <c r="S203" s="13"/>
      <c r="T203" s="13"/>
      <c r="U203" s="13"/>
      <c r="V203" s="13"/>
      <c r="W203" s="13"/>
      <c r="X203" s="13"/>
    </row>
    <row r="204" spans="1:26" x14ac:dyDescent="0.4">
      <c r="A204" s="13"/>
      <c r="B204" s="11"/>
      <c r="C204" s="12">
        <v>2022</v>
      </c>
      <c r="D204" s="23">
        <f t="shared" si="137"/>
        <v>928000</v>
      </c>
      <c r="E204" s="37">
        <v>805000</v>
      </c>
      <c r="F204" s="37">
        <v>97000</v>
      </c>
      <c r="G204" s="37">
        <v>3000</v>
      </c>
      <c r="H204" s="37">
        <v>23000</v>
      </c>
      <c r="I204" s="14"/>
      <c r="J204" s="14"/>
      <c r="K204" s="14"/>
      <c r="L204" s="14"/>
      <c r="M204" s="14"/>
      <c r="N204" s="13"/>
      <c r="O204" s="13"/>
      <c r="P204" s="13"/>
      <c r="Q204" s="13" t="str">
        <f>$A$199&amp;C204&amp;"INC"</f>
        <v>LNT2022INC</v>
      </c>
      <c r="R204" s="47">
        <f>SUM(E204:G204)/D204</f>
        <v>0.97521551724137934</v>
      </c>
      <c r="S204" s="47">
        <f t="shared" ref="S204" si="140">E204/SUM(E204:G204)</f>
        <v>0.88950276243093918</v>
      </c>
      <c r="T204" s="47">
        <f>F204/SUM(E204:G204)</f>
        <v>0.10718232044198896</v>
      </c>
      <c r="U204" s="25">
        <f>IF(OR(ISBLANK($R204),ISBLANK(S204)),"NA",$R204*S204)</f>
        <v>0.86745689655172409</v>
      </c>
      <c r="V204" s="25">
        <f>IF(OR(ISBLANK($R204),ISBLANK(T204)),"NA",$R204*T204)</f>
        <v>0.10452586206896552</v>
      </c>
      <c r="W204" s="25"/>
      <c r="X204" s="25"/>
    </row>
    <row r="205" spans="1:26" x14ac:dyDescent="0.4">
      <c r="A205" s="13"/>
      <c r="B205" s="11" t="s">
        <v>109</v>
      </c>
      <c r="C205" s="12">
        <v>2021</v>
      </c>
      <c r="D205" s="23">
        <f t="shared" si="137"/>
        <v>795000</v>
      </c>
      <c r="E205" s="37">
        <v>716000</v>
      </c>
      <c r="F205" s="37">
        <v>63000</v>
      </c>
      <c r="G205" s="37">
        <v>-11000</v>
      </c>
      <c r="H205" s="37">
        <v>27000</v>
      </c>
      <c r="I205" s="14"/>
      <c r="J205" s="14"/>
      <c r="K205" s="14"/>
      <c r="L205" s="14"/>
      <c r="M205" s="14"/>
      <c r="N205" s="13"/>
      <c r="O205" s="13"/>
      <c r="P205" s="13"/>
      <c r="Q205" s="13" t="str">
        <f>$A$199&amp;C205&amp;"INC"</f>
        <v>LNT2021INC</v>
      </c>
      <c r="R205" s="47">
        <f>SUM(E205:G205)/D205</f>
        <v>0.96603773584905661</v>
      </c>
      <c r="S205" s="47">
        <f t="shared" si="138"/>
        <v>0.93229166666666663</v>
      </c>
      <c r="T205" s="47">
        <f>F205/SUM(E205:G205)</f>
        <v>8.203125E-2</v>
      </c>
      <c r="U205" s="25">
        <f>IF(OR(ISBLANK($R205),ISBLANK(S205)),"NA",$R205*S205)</f>
        <v>0.90062893081761008</v>
      </c>
      <c r="V205" s="25">
        <f>IF(OR(ISBLANK($R205),ISBLANK(T205)),"NA",$R205*T205)</f>
        <v>7.9245283018867921E-2</v>
      </c>
      <c r="W205" s="25"/>
      <c r="X205" s="25"/>
    </row>
    <row r="206" spans="1:26" x14ac:dyDescent="0.4">
      <c r="A206" s="13"/>
      <c r="B206" s="11"/>
      <c r="C206" s="12">
        <v>2020</v>
      </c>
      <c r="D206" s="23">
        <f t="shared" si="137"/>
        <v>740000</v>
      </c>
      <c r="E206" s="37">
        <v>643000</v>
      </c>
      <c r="F206" s="37">
        <v>74000</v>
      </c>
      <c r="G206" s="37">
        <v>-1000</v>
      </c>
      <c r="H206" s="37">
        <v>24000</v>
      </c>
      <c r="I206" s="14"/>
      <c r="J206" s="14"/>
      <c r="K206" s="14"/>
      <c r="L206" s="14"/>
      <c r="M206" s="14"/>
      <c r="N206" s="13"/>
      <c r="O206" s="13"/>
      <c r="P206" s="13"/>
      <c r="Q206" s="13" t="str">
        <f>$A$199&amp;C206&amp;"INC"</f>
        <v>LNT2020INC</v>
      </c>
      <c r="R206" s="47">
        <f>IF(SUM(E206:G206)/D206&gt;100%,100%, SUM(E206:G206)/D206)</f>
        <v>0.96756756756756757</v>
      </c>
      <c r="S206" s="47">
        <f t="shared" si="138"/>
        <v>0.89804469273743015</v>
      </c>
      <c r="T206" s="47">
        <f>F206/SUM(E206:G206)</f>
        <v>0.10335195530726257</v>
      </c>
      <c r="U206" s="25">
        <f t="shared" ref="U206:V206" si="141">IF(OR(ISBLANK($R206),ISBLANK(S206)),"NA",$R206*S206)</f>
        <v>0.86891891891891893</v>
      </c>
      <c r="V206" s="25">
        <f t="shared" si="141"/>
        <v>0.1</v>
      </c>
      <c r="W206" s="25"/>
      <c r="X206" s="25"/>
      <c r="Z206" s="179"/>
    </row>
    <row r="207" spans="1:26" x14ac:dyDescent="0.4">
      <c r="A207" s="13"/>
      <c r="B207" s="11"/>
      <c r="D207" s="23"/>
      <c r="E207" s="37"/>
      <c r="F207" s="37"/>
      <c r="G207" s="37"/>
      <c r="H207" s="37"/>
      <c r="I207" s="14"/>
      <c r="J207" s="14"/>
      <c r="K207" s="14"/>
      <c r="L207" s="14"/>
      <c r="M207" s="14"/>
      <c r="N207" s="13"/>
      <c r="O207" s="13"/>
      <c r="P207" s="13"/>
      <c r="Q207" s="13"/>
      <c r="R207" s="13"/>
      <c r="S207" s="13"/>
      <c r="T207" s="13"/>
      <c r="U207" s="13"/>
      <c r="V207" s="13"/>
      <c r="W207" s="13"/>
      <c r="X207" s="13"/>
    </row>
    <row r="208" spans="1:26" x14ac:dyDescent="0.4">
      <c r="A208" s="13"/>
      <c r="B208" s="11"/>
      <c r="C208" s="12">
        <v>2022</v>
      </c>
      <c r="D208" s="23">
        <f t="shared" si="137"/>
        <v>19062000</v>
      </c>
      <c r="E208" s="37">
        <v>16571000</v>
      </c>
      <c r="F208" s="37">
        <v>1631000</v>
      </c>
      <c r="G208" s="37">
        <v>860000</v>
      </c>
      <c r="H208" s="37"/>
      <c r="I208" s="14"/>
      <c r="J208" s="14"/>
      <c r="K208" s="14"/>
      <c r="L208" s="14"/>
      <c r="M208" s="14"/>
      <c r="N208" s="13"/>
      <c r="O208" s="13"/>
      <c r="P208" s="13"/>
      <c r="Q208" s="13" t="str">
        <f>$A$199&amp;C208&amp;"ASSETS"</f>
        <v>LNT2022ASSETS</v>
      </c>
      <c r="R208" s="47">
        <f>SUM(E208:G208)/D208</f>
        <v>1</v>
      </c>
      <c r="S208" s="47">
        <f t="shared" ref="S208" si="142">E208/SUM(E208:G208)</f>
        <v>0.86932116252229563</v>
      </c>
      <c r="T208" s="47">
        <f>F208/SUM(E208:G208)</f>
        <v>8.5562900010492077E-2</v>
      </c>
      <c r="U208" s="25">
        <f>IF(OR(ISBLANK($R208),ISBLANK(S208)),"NA",$R208*S208)</f>
        <v>0.86932116252229563</v>
      </c>
      <c r="V208" s="25">
        <f>IF(OR(ISBLANK($R208),ISBLANK(T208)),"NA",$R208*T208)</f>
        <v>8.5562900010492077E-2</v>
      </c>
      <c r="W208" s="25"/>
      <c r="X208" s="25"/>
    </row>
    <row r="209" spans="1:26" x14ac:dyDescent="0.4">
      <c r="A209" s="13"/>
      <c r="B209" s="11" t="s">
        <v>110</v>
      </c>
      <c r="C209" s="12">
        <v>2021</v>
      </c>
      <c r="D209" s="23">
        <f t="shared" si="137"/>
        <v>18553000</v>
      </c>
      <c r="E209" s="37">
        <v>14924000</v>
      </c>
      <c r="F209" s="37">
        <v>1487000</v>
      </c>
      <c r="G209" s="37">
        <v>1103000</v>
      </c>
      <c r="H209" s="37">
        <v>1039000</v>
      </c>
      <c r="I209" s="14"/>
      <c r="J209" s="14"/>
      <c r="K209" s="14"/>
      <c r="L209" s="14"/>
      <c r="M209" s="14"/>
      <c r="N209" s="13"/>
      <c r="O209" s="13"/>
      <c r="P209" s="13"/>
      <c r="Q209" s="13" t="str">
        <f>$A$199&amp;C209&amp;"ASSETS"</f>
        <v>LNT2021ASSETS</v>
      </c>
      <c r="R209" s="47">
        <f>SUM(E209:G209)/D209</f>
        <v>0.9439982752115561</v>
      </c>
      <c r="S209" s="47">
        <f t="shared" si="138"/>
        <v>0.85211830535571542</v>
      </c>
      <c r="T209" s="47">
        <f>F209/SUM(E209:G209)</f>
        <v>8.4903505766815116E-2</v>
      </c>
      <c r="U209" s="25">
        <f>IF(OR(ISBLANK($R209),ISBLANK(S209)),"NA",$R209*S209)</f>
        <v>0.80439821053198945</v>
      </c>
      <c r="V209" s="25">
        <f>IF(OR(ISBLANK($R209),ISBLANK(T209)),"NA",$R209*T209)</f>
        <v>8.0148763003287882E-2</v>
      </c>
      <c r="W209" s="25"/>
      <c r="X209" s="25"/>
    </row>
    <row r="210" spans="1:26" x14ac:dyDescent="0.4">
      <c r="A210" s="13"/>
      <c r="B210" s="13"/>
      <c r="C210" s="12">
        <v>2020</v>
      </c>
      <c r="D210" s="23">
        <f t="shared" si="137"/>
        <v>17710000</v>
      </c>
      <c r="E210" s="37">
        <v>14358000</v>
      </c>
      <c r="F210" s="37">
        <v>1413000</v>
      </c>
      <c r="G210" s="37">
        <v>990000</v>
      </c>
      <c r="H210" s="37">
        <v>949000</v>
      </c>
      <c r="I210" s="14"/>
      <c r="J210" s="14"/>
      <c r="K210" s="14"/>
      <c r="L210" s="14"/>
      <c r="M210" s="14"/>
      <c r="N210" s="13"/>
      <c r="O210" s="13"/>
      <c r="P210" s="13"/>
      <c r="Q210" s="13" t="str">
        <f>$A$199&amp;C210&amp;"ASSETS"</f>
        <v>LNT2020ASSETS</v>
      </c>
      <c r="R210" s="47">
        <f>SUM(E210:G210)/D210</f>
        <v>0.94641445511010724</v>
      </c>
      <c r="S210" s="47">
        <f t="shared" si="138"/>
        <v>0.85663146590298911</v>
      </c>
      <c r="T210" s="47">
        <f t="shared" ref="T210" si="143">F210/SUM(E210:G210)</f>
        <v>8.4302845892249872E-2</v>
      </c>
      <c r="U210" s="25">
        <f t="shared" ref="U210:V210" si="144">IF(OR(ISBLANK($R210),ISBLANK(S210)),"NA",$R210*S210)</f>
        <v>0.81072840203274987</v>
      </c>
      <c r="V210" s="25">
        <f t="shared" si="144"/>
        <v>7.978543195934501E-2</v>
      </c>
      <c r="W210" s="25"/>
      <c r="X210" s="25"/>
      <c r="Z210" s="179"/>
    </row>
    <row r="211" spans="1:26" x14ac:dyDescent="0.4">
      <c r="D211" s="180"/>
    </row>
    <row r="212" spans="1:26" x14ac:dyDescent="0.4">
      <c r="D212" s="182"/>
    </row>
    <row r="213" spans="1:26" x14ac:dyDescent="0.4">
      <c r="A213" s="10" t="s">
        <v>21</v>
      </c>
      <c r="B213" s="11"/>
      <c r="C213" s="12"/>
      <c r="D213" s="13"/>
      <c r="E213" s="24"/>
      <c r="F213" s="24"/>
      <c r="G213" s="24"/>
      <c r="H213" s="24"/>
      <c r="I213" s="24"/>
      <c r="J213" s="24"/>
      <c r="K213" s="24"/>
      <c r="L213" s="24"/>
      <c r="M213" s="50"/>
      <c r="N213" s="13"/>
      <c r="O213" s="13"/>
      <c r="P213" s="13"/>
      <c r="Q213" s="13"/>
      <c r="R213" s="13"/>
    </row>
    <row r="214" spans="1:26" x14ac:dyDescent="0.4">
      <c r="A214" s="15" t="s">
        <v>440</v>
      </c>
      <c r="B214" s="11"/>
      <c r="C214" s="12"/>
      <c r="D214" s="13"/>
      <c r="E214" s="24"/>
      <c r="F214" s="24"/>
      <c r="G214" s="24"/>
      <c r="H214" s="24"/>
      <c r="I214" s="24"/>
      <c r="J214" s="24"/>
      <c r="K214" s="24"/>
      <c r="L214" s="24"/>
      <c r="M214" s="50"/>
      <c r="N214" s="13"/>
      <c r="O214" s="13"/>
      <c r="P214" s="13"/>
      <c r="Q214" s="13"/>
      <c r="R214" s="13"/>
    </row>
    <row r="215" spans="1:26" ht="36.9" x14ac:dyDescent="0.4">
      <c r="A215" s="10" t="s">
        <v>22</v>
      </c>
      <c r="B215" s="11"/>
      <c r="C215" s="12"/>
      <c r="D215" s="12" t="s">
        <v>96</v>
      </c>
      <c r="E215" s="51" t="s">
        <v>363</v>
      </c>
      <c r="F215" s="42" t="s">
        <v>364</v>
      </c>
      <c r="G215" s="42" t="s">
        <v>117</v>
      </c>
      <c r="H215" s="51" t="s">
        <v>118</v>
      </c>
      <c r="I215" s="51" t="s">
        <v>119</v>
      </c>
      <c r="J215" s="51" t="s">
        <v>120</v>
      </c>
      <c r="K215" s="51" t="s">
        <v>121</v>
      </c>
      <c r="L215" s="14"/>
      <c r="M215" s="14"/>
      <c r="N215" s="13"/>
      <c r="O215" s="13"/>
      <c r="P215" s="13"/>
      <c r="Q215" s="20"/>
      <c r="R215" s="21" t="s">
        <v>102</v>
      </c>
      <c r="S215" s="176" t="s">
        <v>103</v>
      </c>
      <c r="T215" s="176" t="s">
        <v>104</v>
      </c>
      <c r="U215" s="176" t="s">
        <v>105</v>
      </c>
      <c r="V215" s="176" t="s">
        <v>106</v>
      </c>
      <c r="W215" s="177"/>
      <c r="X215" s="177"/>
      <c r="Y215" s="177" t="s">
        <v>441</v>
      </c>
      <c r="Z215" s="177" t="s">
        <v>442</v>
      </c>
    </row>
    <row r="216" spans="1:26" ht="14.4" x14ac:dyDescent="0.55000000000000004">
      <c r="A216" s="10"/>
      <c r="B216" s="11"/>
      <c r="C216" s="12">
        <v>2022</v>
      </c>
      <c r="D216" s="23">
        <f>SUM(E216:K216)</f>
        <v>7957000</v>
      </c>
      <c r="E216" s="52">
        <v>4046000</v>
      </c>
      <c r="F216" s="53"/>
      <c r="G216" s="42"/>
      <c r="H216" s="52">
        <v>2256000</v>
      </c>
      <c r="I216" s="52">
        <v>1180000</v>
      </c>
      <c r="J216" s="52">
        <v>615000</v>
      </c>
      <c r="K216" s="52">
        <v>-140000</v>
      </c>
      <c r="L216" s="14"/>
      <c r="M216" s="14"/>
      <c r="N216" s="13"/>
      <c r="O216" s="13"/>
      <c r="P216" s="13"/>
      <c r="Q216" s="13" t="str">
        <f>$A$215&amp;C216&amp;"REV"</f>
        <v>AEE2022REV</v>
      </c>
      <c r="R216" s="47">
        <f>IF(SUM(E216:J216)/D216&gt;100%, 100%, SUM(E216:J216)/D216)</f>
        <v>1</v>
      </c>
      <c r="S216" s="48">
        <f>(Y216+H216+J216)/SUM(E216:K216)</f>
        <v>0.8535990088064398</v>
      </c>
      <c r="T216" s="48">
        <f>(Z216+I216)/SUM(E216:K216)</f>
        <v>0.16399556201170776</v>
      </c>
      <c r="U216" s="25">
        <f>IF(OR(ISBLANK($R216),ISBLANK(S216)),"NA",$R216*S216)</f>
        <v>0.8535990088064398</v>
      </c>
      <c r="V216" s="25">
        <f>IF(OR(ISBLANK($R216),ISBLANK(T216)),"NA",$R216*T216)</f>
        <v>0.16399556201170776</v>
      </c>
      <c r="W216" s="25"/>
      <c r="X216" s="12">
        <v>2021</v>
      </c>
      <c r="Y216" s="183">
        <f>E216*($E$224)/SUM($E$224:$F$224)</f>
        <v>3921087.3130728411</v>
      </c>
      <c r="Z216" s="49">
        <f>E216*(1-($E$224)/SUM($E$224:$F$224))</f>
        <v>124912.68692715865</v>
      </c>
    </row>
    <row r="217" spans="1:26" ht="14.4" x14ac:dyDescent="0.55000000000000004">
      <c r="A217" s="13"/>
      <c r="B217" s="11" t="s">
        <v>107</v>
      </c>
      <c r="C217" s="12">
        <v>2021</v>
      </c>
      <c r="D217" s="23">
        <f>SUM(E217:K217)</f>
        <v>6394000</v>
      </c>
      <c r="E217" s="52">
        <v>3353000</v>
      </c>
      <c r="F217" s="53"/>
      <c r="G217" s="42" t="s">
        <v>108</v>
      </c>
      <c r="H217" s="52">
        <f>1635000+4000</f>
        <v>1639000</v>
      </c>
      <c r="I217" s="52">
        <v>957000</v>
      </c>
      <c r="J217" s="52">
        <f>491000+71000</f>
        <v>562000</v>
      </c>
      <c r="K217" s="52">
        <v>-117000</v>
      </c>
      <c r="L217" s="14"/>
      <c r="M217" s="14"/>
      <c r="N217" s="13"/>
      <c r="O217" s="13"/>
      <c r="P217" s="13"/>
      <c r="Q217" s="13" t="str">
        <f t="shared" ref="Q217:Q218" si="145">$A$215&amp;C217&amp;"REV"</f>
        <v>AEE2021REV</v>
      </c>
      <c r="R217" s="47">
        <f t="shared" ref="R217:R218" si="146">IF(SUM(E217:J217)/D217&gt;100%, 100%, SUM(E217:J217)/D217)</f>
        <v>1</v>
      </c>
      <c r="S217" s="132">
        <f>(E217+H217+J217)/SUM(E217:K217)</f>
        <v>0.86862683766030657</v>
      </c>
      <c r="T217" s="132">
        <f>(F217+I217)/SUM(E217:K217)</f>
        <v>0.14967156709415078</v>
      </c>
      <c r="U217" s="178">
        <f>IF(OR(ISBLANK($R217),ISBLANK(S217)),"NA",$R217*S217)</f>
        <v>0.86862683766030657</v>
      </c>
      <c r="V217" s="178">
        <f>IF(OR(ISBLANK($R217),ISBLANK(T217)),"NA",$R217*T217)</f>
        <v>0.14967156709415078</v>
      </c>
      <c r="W217" s="178"/>
      <c r="X217" s="178"/>
    </row>
    <row r="218" spans="1:26" x14ac:dyDescent="0.4">
      <c r="A218" s="13"/>
      <c r="B218" s="11"/>
      <c r="C218" s="12">
        <v>2020</v>
      </c>
      <c r="D218" s="23">
        <f>SUM(E218:K218)</f>
        <v>5794000</v>
      </c>
      <c r="E218" s="52">
        <v>2984000</v>
      </c>
      <c r="F218" s="53">
        <v>125000</v>
      </c>
      <c r="G218" s="42" t="s">
        <v>108</v>
      </c>
      <c r="H218" s="52">
        <v>1498000</v>
      </c>
      <c r="I218" s="52">
        <v>760000</v>
      </c>
      <c r="J218" s="52">
        <v>523000</v>
      </c>
      <c r="K218" s="52">
        <v>-96000</v>
      </c>
      <c r="L218" s="14"/>
      <c r="M218" s="14"/>
      <c r="N218" s="13"/>
      <c r="O218" s="13"/>
      <c r="P218" s="13"/>
      <c r="Q218" s="13" t="str">
        <f t="shared" si="145"/>
        <v>AEE2020REV</v>
      </c>
      <c r="R218" s="47">
        <f t="shared" si="146"/>
        <v>1</v>
      </c>
      <c r="S218" s="133">
        <f>(E218+H218+J218)/SUM(E218:K218)</f>
        <v>0.86382464618570931</v>
      </c>
      <c r="T218" s="133">
        <f t="shared" ref="T218" si="147">(F218+I218)/SUM(E218:K218)</f>
        <v>0.15274421815671385</v>
      </c>
      <c r="U218" s="178">
        <f t="shared" ref="U218:V218" si="148">IF(OR(ISBLANK($R218),ISBLANK(S218)),"NA",$R218*S218)</f>
        <v>0.86382464618570931</v>
      </c>
      <c r="V218" s="178">
        <f t="shared" si="148"/>
        <v>0.15274421815671385</v>
      </c>
      <c r="W218" s="178"/>
      <c r="X218" s="178"/>
    </row>
    <row r="219" spans="1:26" x14ac:dyDescent="0.4">
      <c r="A219" s="13"/>
      <c r="B219" s="11"/>
      <c r="D219" s="23"/>
      <c r="E219" s="37"/>
      <c r="F219" s="32"/>
      <c r="G219" s="32"/>
      <c r="H219" s="37"/>
      <c r="I219" s="14"/>
      <c r="J219" s="14"/>
      <c r="K219" s="14"/>
      <c r="L219" s="14"/>
      <c r="M219" s="14"/>
      <c r="N219" s="13"/>
      <c r="O219" s="13"/>
      <c r="P219" s="13"/>
      <c r="Q219" s="13"/>
      <c r="R219" s="47"/>
    </row>
    <row r="220" spans="1:26" ht="12.6" x14ac:dyDescent="0.45">
      <c r="A220" s="13"/>
      <c r="B220" s="11"/>
      <c r="C220" s="12">
        <v>2022</v>
      </c>
      <c r="D220" s="23">
        <f>SUM(E220:K220)</f>
        <v>1515000</v>
      </c>
      <c r="E220" s="32">
        <v>669000</v>
      </c>
      <c r="F220" s="32"/>
      <c r="G220" s="32"/>
      <c r="H220" s="32">
        <v>285000</v>
      </c>
      <c r="I220" s="38">
        <v>194000</v>
      </c>
      <c r="J220" s="38">
        <v>423000</v>
      </c>
      <c r="K220" s="38">
        <v>-56000</v>
      </c>
      <c r="L220" s="14"/>
      <c r="M220" s="14"/>
      <c r="N220" s="13"/>
      <c r="O220" s="13"/>
      <c r="P220" s="13"/>
      <c r="Q220" s="13" t="str">
        <f>$A$215&amp;C220&amp;"INC"</f>
        <v>AEE2022INC</v>
      </c>
      <c r="R220" s="47">
        <f>IF(SUM(E220:J220)/D220&gt;100%,100%,SUM(E220:J220)/D220)</f>
        <v>1</v>
      </c>
      <c r="S220" s="131">
        <v>0.84835254583881448</v>
      </c>
      <c r="T220" s="131">
        <v>0.15164745416118555</v>
      </c>
      <c r="U220" s="178">
        <f>IF(OR(ISBLANK($R220),ISBLANK(S220)),"NA",$R220*S220)</f>
        <v>0.84835254583881448</v>
      </c>
      <c r="V220" s="178">
        <f>IF(OR(ISBLANK($R220),ISBLANK(T220)),"NA",$R220*T220)</f>
        <v>0.15164745416118555</v>
      </c>
      <c r="W220" s="178"/>
      <c r="X220" s="178"/>
    </row>
    <row r="221" spans="1:26" ht="12.6" x14ac:dyDescent="0.45">
      <c r="A221" s="13"/>
      <c r="B221" s="11" t="s">
        <v>109</v>
      </c>
      <c r="C221" s="12">
        <v>2021</v>
      </c>
      <c r="D221" s="23">
        <f>SUM(E221:K221)</f>
        <v>1333000</v>
      </c>
      <c r="E221" s="32">
        <v>562000</v>
      </c>
      <c r="F221" s="32"/>
      <c r="G221" s="32"/>
      <c r="H221" s="32">
        <v>254000</v>
      </c>
      <c r="I221" s="38">
        <v>176000</v>
      </c>
      <c r="J221" s="38">
        <v>381000</v>
      </c>
      <c r="K221" s="38">
        <v>-40000</v>
      </c>
      <c r="L221" s="14"/>
      <c r="M221" s="14"/>
      <c r="N221" s="13"/>
      <c r="O221" s="13"/>
      <c r="P221" s="13"/>
      <c r="Q221" s="13" t="str">
        <f t="shared" ref="Q221:Q222" si="149">$A$215&amp;C221&amp;"INC"</f>
        <v>AEE2021INC</v>
      </c>
      <c r="R221" s="47">
        <f t="shared" ref="R221:R222" si="150">IF(SUM(E221:J221)/D221&gt;100%,100%,SUM(E221:J221)/D221)</f>
        <v>1</v>
      </c>
      <c r="S221" s="131">
        <v>0.84148896258835182</v>
      </c>
      <c r="T221" s="131">
        <v>0.15851103741164818</v>
      </c>
      <c r="U221" s="178">
        <f t="shared" ref="U221:V222" si="151">IF(OR(ISBLANK($R221),ISBLANK(S221)),"NA",$R221*S221)</f>
        <v>0.84148896258835182</v>
      </c>
      <c r="V221" s="178">
        <f t="shared" si="151"/>
        <v>0.15851103741164818</v>
      </c>
      <c r="W221" s="178"/>
      <c r="X221" s="178"/>
    </row>
    <row r="222" spans="1:26" ht="12.6" x14ac:dyDescent="0.45">
      <c r="A222" s="13"/>
      <c r="B222" s="11"/>
      <c r="C222" s="12">
        <v>2020</v>
      </c>
      <c r="D222" s="23">
        <f>SUM(E222:K222)</f>
        <v>1300000</v>
      </c>
      <c r="E222" s="32">
        <v>587000</v>
      </c>
      <c r="F222" s="32"/>
      <c r="G222" s="32"/>
      <c r="H222" s="32">
        <v>225000</v>
      </c>
      <c r="I222" s="38">
        <v>164000</v>
      </c>
      <c r="J222" s="38">
        <v>360000</v>
      </c>
      <c r="K222" s="38">
        <v>-36000</v>
      </c>
      <c r="L222" s="14"/>
      <c r="M222" s="14"/>
      <c r="N222" s="13"/>
      <c r="O222" s="13"/>
      <c r="P222" s="13"/>
      <c r="Q222" s="13" t="str">
        <f t="shared" si="149"/>
        <v>AEE2020INC</v>
      </c>
      <c r="R222" s="47">
        <f t="shared" si="150"/>
        <v>1</v>
      </c>
      <c r="S222" s="131">
        <v>0.84733187941150179</v>
      </c>
      <c r="T222" s="131">
        <v>0.15266812058849819</v>
      </c>
      <c r="U222" s="178">
        <f t="shared" si="151"/>
        <v>0.84733187941150179</v>
      </c>
      <c r="V222" s="178">
        <f t="shared" si="151"/>
        <v>0.15266812058849819</v>
      </c>
      <c r="W222" s="178"/>
      <c r="X222" s="178"/>
    </row>
    <row r="223" spans="1:26" x14ac:dyDescent="0.4">
      <c r="A223" s="13"/>
      <c r="B223" s="11"/>
      <c r="D223" s="23"/>
      <c r="E223" s="37"/>
      <c r="F223" s="37"/>
      <c r="G223" s="37"/>
      <c r="H223" s="37"/>
      <c r="I223" s="14"/>
      <c r="J223" s="14"/>
      <c r="K223" s="14"/>
      <c r="L223" s="14"/>
      <c r="M223" s="14"/>
      <c r="N223" s="13"/>
      <c r="O223" s="13"/>
      <c r="P223" s="13"/>
      <c r="Q223" s="13"/>
      <c r="R223" s="13"/>
    </row>
    <row r="224" spans="1:26" ht="12.6" x14ac:dyDescent="0.45">
      <c r="A224" s="13"/>
      <c r="B224" s="11"/>
      <c r="C224" s="12">
        <v>2022</v>
      </c>
      <c r="D224" s="23">
        <f>SUM(E224:K224)</f>
        <v>43828000</v>
      </c>
      <c r="E224" s="32">
        <f>3454000+961000+5725000+1957000+7993000</f>
        <v>20090000</v>
      </c>
      <c r="F224" s="32">
        <v>640000</v>
      </c>
      <c r="G224" s="32">
        <v>1884000</v>
      </c>
      <c r="H224" s="32">
        <v>7351000</v>
      </c>
      <c r="I224" s="38">
        <v>3883000</v>
      </c>
      <c r="J224" s="38">
        <f>4617000+1815000</f>
        <v>6432000</v>
      </c>
      <c r="K224" s="38">
        <v>3548000</v>
      </c>
      <c r="L224" s="14"/>
      <c r="M224" s="14"/>
      <c r="N224" s="13"/>
      <c r="O224" s="13"/>
      <c r="P224" s="13"/>
      <c r="Q224" s="13" t="str">
        <f>$A$215&amp;C224&amp;"ASSETS"</f>
        <v>AEE2022ASSETS</v>
      </c>
      <c r="R224" s="47">
        <f>SUM(E224:J224)/D224</f>
        <v>0.91904718444829792</v>
      </c>
      <c r="S224" s="131">
        <v>0.88362299249521026</v>
      </c>
      <c r="T224" s="131">
        <v>0.11689529540450541</v>
      </c>
      <c r="U224" s="178">
        <f>IF(OR(ISBLANK($R224),ISBLANK(S224)),"NA",$R224*S224)</f>
        <v>0.81209122336650241</v>
      </c>
      <c r="V224" s="178">
        <f>IF(OR(ISBLANK($R224),ISBLANK(T224)),"NA",$R224*T224)</f>
        <v>0.10743229211676275</v>
      </c>
      <c r="W224" s="178"/>
      <c r="X224" s="178"/>
    </row>
    <row r="225" spans="1:26" ht="12.6" x14ac:dyDescent="0.45">
      <c r="A225" s="13"/>
      <c r="B225" s="11" t="s">
        <v>110</v>
      </c>
      <c r="C225" s="12">
        <v>2021</v>
      </c>
      <c r="D225" s="23">
        <f>SUM(E225:K225)</f>
        <v>41602000</v>
      </c>
      <c r="E225" s="32">
        <f>3955000+1105000+5615000+1889000+7286000</f>
        <v>19850000</v>
      </c>
      <c r="F225" s="32">
        <v>607000</v>
      </c>
      <c r="G225" s="32">
        <v>1628000</v>
      </c>
      <c r="H225" s="32">
        <v>7017000</v>
      </c>
      <c r="I225" s="38">
        <v>3586000</v>
      </c>
      <c r="J225" s="38">
        <f>4105000+1800000</f>
        <v>5905000</v>
      </c>
      <c r="K225" s="38">
        <v>3009000</v>
      </c>
      <c r="L225" s="14"/>
      <c r="M225" s="14"/>
      <c r="N225" s="13"/>
      <c r="O225" s="13"/>
      <c r="P225" s="13"/>
      <c r="Q225" s="13" t="str">
        <f t="shared" ref="Q225:Q226" si="152">$A$215&amp;C225&amp;"ASSETS"</f>
        <v>AEE2021ASSETS</v>
      </c>
      <c r="R225" s="47">
        <f>SUM(E225:J225)/D225</f>
        <v>0.92767174655064666</v>
      </c>
      <c r="S225" s="131">
        <v>0.88517744217396976</v>
      </c>
      <c r="T225" s="131">
        <v>0.11540370594960435</v>
      </c>
      <c r="U225" s="178">
        <f t="shared" ref="U225:V226" si="153">IF(OR(ISBLANK($R225),ISBLANK(S225)),"NA",$R225*S225)</f>
        <v>0.82115410378876053</v>
      </c>
      <c r="V225" s="178">
        <f t="shared" si="153"/>
        <v>0.10705675745668672</v>
      </c>
      <c r="W225" s="178"/>
      <c r="X225" s="178"/>
    </row>
    <row r="226" spans="1:26" ht="12.6" x14ac:dyDescent="0.45">
      <c r="A226" s="13"/>
      <c r="B226" s="13"/>
      <c r="C226" s="12">
        <v>2020</v>
      </c>
      <c r="D226" s="23">
        <f>SUM(E226:K226)</f>
        <v>39719000</v>
      </c>
      <c r="E226" s="32">
        <v>19665000</v>
      </c>
      <c r="F226" s="32">
        <v>561000</v>
      </c>
      <c r="G226" s="32">
        <v>1482000</v>
      </c>
      <c r="H226" s="32">
        <v>6649000</v>
      </c>
      <c r="I226" s="38">
        <v>3308000</v>
      </c>
      <c r="J226" s="38">
        <v>5349000</v>
      </c>
      <c r="K226" s="38">
        <v>2705000</v>
      </c>
      <c r="L226" s="14"/>
      <c r="M226" s="14"/>
      <c r="N226" s="13"/>
      <c r="O226" s="13"/>
      <c r="P226" s="13"/>
      <c r="Q226" s="13" t="str">
        <f t="shared" si="152"/>
        <v>AEE2020ASSETS</v>
      </c>
      <c r="R226" s="47">
        <f>SUM(E226:J226)/D226</f>
        <v>0.9318965734283341</v>
      </c>
      <c r="S226" s="131">
        <v>0.8830240920238458</v>
      </c>
      <c r="T226" s="131">
        <v>0.11697590797615424</v>
      </c>
      <c r="U226" s="178">
        <f t="shared" si="153"/>
        <v>0.82288712561168786</v>
      </c>
      <c r="V226" s="178">
        <f t="shared" si="153"/>
        <v>0.10900944781664627</v>
      </c>
      <c r="W226" s="178"/>
      <c r="X226" s="178"/>
    </row>
    <row r="227" spans="1:26" x14ac:dyDescent="0.4">
      <c r="D227" s="184"/>
      <c r="R227" s="133"/>
      <c r="U227" s="181"/>
    </row>
    <row r="228" spans="1:26" x14ac:dyDescent="0.4">
      <c r="D228" s="184"/>
    </row>
    <row r="229" spans="1:26" x14ac:dyDescent="0.4">
      <c r="D229" s="185"/>
    </row>
    <row r="231" spans="1:26" x14ac:dyDescent="0.4">
      <c r="A231" s="10" t="s">
        <v>24</v>
      </c>
      <c r="B231" s="11"/>
      <c r="C231" s="12"/>
      <c r="D231" s="13"/>
      <c r="E231" s="14"/>
      <c r="F231" s="24"/>
      <c r="G231" s="24"/>
      <c r="H231" s="24"/>
      <c r="I231" s="24"/>
      <c r="J231" s="24"/>
      <c r="K231" s="24"/>
      <c r="L231" s="14"/>
      <c r="M231" s="14"/>
      <c r="N231" s="13"/>
      <c r="O231" s="13"/>
      <c r="P231" s="13"/>
      <c r="Q231" s="13"/>
      <c r="R231" s="13"/>
      <c r="S231" s="13"/>
      <c r="T231" s="13"/>
      <c r="U231" s="13"/>
      <c r="V231" s="13"/>
      <c r="W231" s="13"/>
      <c r="X231" s="13"/>
    </row>
    <row r="232" spans="1:26" x14ac:dyDescent="0.4">
      <c r="A232" s="13" t="s">
        <v>365</v>
      </c>
      <c r="B232" s="11"/>
      <c r="C232" s="12"/>
      <c r="D232" s="13"/>
      <c r="E232" s="14"/>
      <c r="F232" s="24"/>
      <c r="G232" s="24"/>
      <c r="H232" s="24"/>
      <c r="I232" s="24"/>
      <c r="J232" s="24"/>
      <c r="K232" s="24"/>
      <c r="L232" s="14"/>
      <c r="M232" s="14"/>
      <c r="N232" s="13"/>
      <c r="O232" s="13"/>
      <c r="P232" s="13"/>
      <c r="Q232" s="13"/>
      <c r="R232" s="13"/>
      <c r="S232" s="13"/>
      <c r="T232" s="13"/>
      <c r="U232" s="13"/>
      <c r="V232" s="13"/>
      <c r="W232" s="13"/>
      <c r="X232" s="13"/>
    </row>
    <row r="233" spans="1:26" ht="36.9" x14ac:dyDescent="0.4">
      <c r="A233" s="10" t="s">
        <v>25</v>
      </c>
      <c r="B233" s="11"/>
      <c r="C233" s="12"/>
      <c r="D233" s="12" t="s">
        <v>96</v>
      </c>
      <c r="E233" s="51" t="s">
        <v>122</v>
      </c>
      <c r="F233" s="51" t="s">
        <v>123</v>
      </c>
      <c r="G233" s="51" t="s">
        <v>124</v>
      </c>
      <c r="H233" s="51" t="s">
        <v>125</v>
      </c>
      <c r="I233" s="51" t="s">
        <v>100</v>
      </c>
      <c r="J233" s="51" t="s">
        <v>126</v>
      </c>
      <c r="K233" s="14"/>
      <c r="L233" s="14"/>
      <c r="M233" s="13"/>
      <c r="N233" s="13"/>
      <c r="O233" s="13"/>
      <c r="P233" s="13"/>
      <c r="Q233" s="20"/>
      <c r="R233" s="21" t="s">
        <v>102</v>
      </c>
      <c r="S233" s="21" t="s">
        <v>103</v>
      </c>
      <c r="T233" s="21" t="s">
        <v>104</v>
      </c>
      <c r="U233" s="21" t="s">
        <v>105</v>
      </c>
      <c r="V233" s="21" t="s">
        <v>106</v>
      </c>
      <c r="W233" s="22"/>
      <c r="X233" s="22"/>
    </row>
    <row r="234" spans="1:26" x14ac:dyDescent="0.4">
      <c r="A234" s="10"/>
      <c r="B234" s="11"/>
      <c r="C234" s="12">
        <v>2022</v>
      </c>
      <c r="D234" s="23">
        <f>SUM(E234:L234)</f>
        <v>19639500</v>
      </c>
      <c r="E234" s="51">
        <v>11477500</v>
      </c>
      <c r="F234" s="51">
        <v>5512000</v>
      </c>
      <c r="G234" s="51">
        <v>1677000</v>
      </c>
      <c r="H234" s="51">
        <v>2466900</v>
      </c>
      <c r="I234" s="51">
        <v>109900</v>
      </c>
      <c r="J234" s="51">
        <v>-1603800</v>
      </c>
      <c r="K234" s="14"/>
      <c r="L234" s="14"/>
      <c r="M234" s="13"/>
      <c r="N234" s="13"/>
      <c r="O234" s="13"/>
      <c r="P234" s="13"/>
      <c r="Q234" s="13" t="str">
        <f>$A$233&amp;C234&amp;"REV"</f>
        <v>AEP2022REV</v>
      </c>
      <c r="R234" s="48">
        <f>SUM(E234:G234)/D234</f>
        <v>0.95045698719417504</v>
      </c>
      <c r="S234" s="48">
        <f>SUM(E234:G234)/SUM(E234:G234)</f>
        <v>1</v>
      </c>
      <c r="T234" s="48">
        <v>0</v>
      </c>
      <c r="U234" s="25">
        <f>IF(OR(ISBLANK($R234),ISBLANK(S234)),"NA",$R234*S234)</f>
        <v>0.95045698719417504</v>
      </c>
      <c r="V234" s="25">
        <f t="shared" ref="U234:V236" si="154">IF(OR(ISBLANK($R234),ISBLANK(T234)),"NA",$R234*T234)</f>
        <v>0</v>
      </c>
      <c r="W234" s="25"/>
      <c r="X234" s="25"/>
    </row>
    <row r="235" spans="1:26" x14ac:dyDescent="0.4">
      <c r="A235" s="13"/>
      <c r="B235" s="11" t="s">
        <v>107</v>
      </c>
      <c r="C235" s="12">
        <v>2021</v>
      </c>
      <c r="D235" s="23">
        <f>SUM(E235:L235)</f>
        <v>16791900</v>
      </c>
      <c r="E235" s="51">
        <v>9998500</v>
      </c>
      <c r="F235" s="51">
        <v>4492900</v>
      </c>
      <c r="G235" s="51">
        <v>1526200</v>
      </c>
      <c r="H235" s="51">
        <v>2163700</v>
      </c>
      <c r="I235" s="51">
        <v>72200</v>
      </c>
      <c r="J235" s="51">
        <v>-1461600</v>
      </c>
      <c r="K235" s="14"/>
      <c r="L235" s="14"/>
      <c r="M235" s="13"/>
      <c r="N235" s="13"/>
      <c r="O235" s="13"/>
      <c r="P235" s="13"/>
      <c r="Q235" s="13" t="str">
        <f t="shared" ref="Q235:Q236" si="155">$A$233&amp;C235&amp;"REV"</f>
        <v>AEP2021REV</v>
      </c>
      <c r="R235" s="48">
        <f>SUM(E235:G235)/D235</f>
        <v>0.95388848194665288</v>
      </c>
      <c r="S235" s="48">
        <f>SUM(E235:G235)/SUM(E235:G235)</f>
        <v>1</v>
      </c>
      <c r="T235" s="48">
        <v>0</v>
      </c>
      <c r="U235" s="25">
        <f t="shared" si="154"/>
        <v>0.95388848194665288</v>
      </c>
      <c r="V235" s="25">
        <f t="shared" si="154"/>
        <v>0</v>
      </c>
      <c r="W235" s="25"/>
      <c r="X235" s="25"/>
    </row>
    <row r="236" spans="1:26" x14ac:dyDescent="0.4">
      <c r="A236" s="13"/>
      <c r="B236" s="11"/>
      <c r="C236" s="12">
        <v>2020</v>
      </c>
      <c r="D236" s="23">
        <f>SUM(E236:L236)</f>
        <v>14918500</v>
      </c>
      <c r="E236" s="51">
        <v>8879400</v>
      </c>
      <c r="F236" s="51">
        <v>4345900</v>
      </c>
      <c r="G236" s="51">
        <v>1198800</v>
      </c>
      <c r="H236" s="51">
        <v>1725600</v>
      </c>
      <c r="I236" s="51">
        <v>96800</v>
      </c>
      <c r="J236" s="51">
        <v>-1328000</v>
      </c>
      <c r="K236" s="14"/>
      <c r="L236" s="14"/>
      <c r="M236" s="13"/>
      <c r="N236" s="13"/>
      <c r="O236" s="13"/>
      <c r="P236" s="13"/>
      <c r="Q236" s="13" t="str">
        <f t="shared" si="155"/>
        <v>AEP2020REV</v>
      </c>
      <c r="R236" s="48">
        <f>SUM(E236:G236)/D236</f>
        <v>0.96685993900191036</v>
      </c>
      <c r="S236" s="48">
        <f>SUM(E236:G236)/SUM(E236:G236)</f>
        <v>1</v>
      </c>
      <c r="T236" s="48">
        <v>0</v>
      </c>
      <c r="U236" s="25">
        <f t="shared" si="154"/>
        <v>0.96685993900191036</v>
      </c>
      <c r="V236" s="25">
        <f t="shared" si="154"/>
        <v>0</v>
      </c>
      <c r="W236" s="25"/>
      <c r="X236" s="25"/>
    </row>
    <row r="237" spans="1:26" x14ac:dyDescent="0.4">
      <c r="A237" s="13"/>
      <c r="B237" s="11"/>
      <c r="D237" s="13"/>
      <c r="E237" s="24"/>
      <c r="F237" s="24"/>
      <c r="G237" s="24"/>
      <c r="H237" s="24"/>
      <c r="I237" s="24"/>
      <c r="J237" s="24"/>
      <c r="K237" s="14"/>
      <c r="L237" s="14"/>
      <c r="M237" s="13"/>
      <c r="N237" s="13"/>
      <c r="O237" s="13"/>
      <c r="P237" s="13"/>
      <c r="Q237" s="13"/>
      <c r="R237" s="13"/>
      <c r="S237" s="13"/>
      <c r="T237" s="13"/>
      <c r="U237" s="13"/>
      <c r="V237" s="13"/>
      <c r="W237" s="13"/>
      <c r="X237" s="13"/>
      <c r="Z237" s="179"/>
    </row>
    <row r="238" spans="1:26" x14ac:dyDescent="0.4">
      <c r="A238" s="13"/>
      <c r="B238" s="11"/>
      <c r="C238" s="12">
        <v>2022</v>
      </c>
      <c r="D238" s="23">
        <f>SUM(E238:J238)</f>
        <v>3421400</v>
      </c>
      <c r="E238" s="24">
        <v>1682400</v>
      </c>
      <c r="F238" s="29">
        <v>953900</v>
      </c>
      <c r="G238" s="29">
        <v>878700</v>
      </c>
      <c r="H238" s="29">
        <v>376100</v>
      </c>
      <c r="I238" s="29">
        <f>-537600+308900-128200</f>
        <v>-356900</v>
      </c>
      <c r="J238" s="29">
        <v>-112800</v>
      </c>
      <c r="K238" s="24"/>
      <c r="L238" s="14"/>
      <c r="M238" s="13"/>
      <c r="N238" s="13"/>
      <c r="O238" s="13"/>
      <c r="P238" s="13"/>
      <c r="Q238" s="13" t="str">
        <f>$A$233&amp;C238&amp;"INC"</f>
        <v>AEP2022INC</v>
      </c>
      <c r="R238" s="48">
        <f>SUM(E238:G238)/D238</f>
        <v>1.0273572221897469</v>
      </c>
      <c r="S238" s="48">
        <f>SUM(E238:G238)/SUM(E238:G238)</f>
        <v>1</v>
      </c>
      <c r="T238" s="48">
        <v>0</v>
      </c>
      <c r="U238" s="25">
        <f t="shared" ref="U238:V240" si="156">IF(OR(ISBLANK($R238),ISBLANK(S238)),"NA",$R238*S238)</f>
        <v>1.0273572221897469</v>
      </c>
      <c r="V238" s="25">
        <f t="shared" si="156"/>
        <v>0</v>
      </c>
      <c r="W238" s="25"/>
      <c r="X238" s="25"/>
    </row>
    <row r="239" spans="1:26" x14ac:dyDescent="0.4">
      <c r="A239" s="13"/>
      <c r="B239" s="11" t="s">
        <v>109</v>
      </c>
      <c r="C239" s="12">
        <v>2021</v>
      </c>
      <c r="D239" s="23">
        <f>SUM(E239:J239)</f>
        <v>3459800</v>
      </c>
      <c r="E239" s="24">
        <v>1554700</v>
      </c>
      <c r="F239" s="29">
        <v>857900</v>
      </c>
      <c r="G239" s="29">
        <v>842900</v>
      </c>
      <c r="H239" s="29">
        <v>168000</v>
      </c>
      <c r="I239" s="29">
        <f>-64200+(-61600)+180800</f>
        <v>55000</v>
      </c>
      <c r="J239" s="29">
        <v>-18700</v>
      </c>
      <c r="K239" s="14"/>
      <c r="L239" s="14"/>
      <c r="M239" s="13"/>
      <c r="N239" s="13"/>
      <c r="O239" s="13"/>
      <c r="P239" s="13"/>
      <c r="Q239" s="13" t="str">
        <f t="shared" ref="Q239:Q240" si="157">$A$233&amp;C239&amp;"INC"</f>
        <v>AEP2021INC</v>
      </c>
      <c r="R239" s="48">
        <f>SUM(E239:G239)/D239</f>
        <v>0.94095034395051735</v>
      </c>
      <c r="S239" s="48">
        <f>SUM(E239:G239)/SUM(E239:G239)</f>
        <v>1</v>
      </c>
      <c r="T239" s="48">
        <v>0</v>
      </c>
      <c r="U239" s="25">
        <f t="shared" si="156"/>
        <v>0.94095034395051735</v>
      </c>
      <c r="V239" s="25">
        <f t="shared" si="156"/>
        <v>0</v>
      </c>
      <c r="W239" s="25"/>
      <c r="X239" s="25"/>
    </row>
    <row r="240" spans="1:26" x14ac:dyDescent="0.4">
      <c r="A240" s="13"/>
      <c r="B240" s="11"/>
      <c r="C240" s="12">
        <v>2020</v>
      </c>
      <c r="D240" s="23">
        <f>SUM(E240:J240)</f>
        <v>3039100</v>
      </c>
      <c r="E240" s="24">
        <v>1507100</v>
      </c>
      <c r="F240" s="29">
        <v>750000</v>
      </c>
      <c r="G240" s="29">
        <v>611200</v>
      </c>
      <c r="H240" s="29">
        <v>111100</v>
      </c>
      <c r="I240" s="29">
        <v>101800</v>
      </c>
      <c r="J240" s="29">
        <v>-42100</v>
      </c>
      <c r="K240" s="14"/>
      <c r="L240" s="14"/>
      <c r="M240" s="13"/>
      <c r="N240" s="13"/>
      <c r="O240" s="13"/>
      <c r="P240" s="13"/>
      <c r="Q240" s="13" t="str">
        <f t="shared" si="157"/>
        <v>AEP2020INC</v>
      </c>
      <c r="R240" s="48">
        <f>IF(SUM(E240:G240)/(D240-H240)&gt;100%,100%,SUM(E240:G240)/(D240-H240))</f>
        <v>0.97961065573770489</v>
      </c>
      <c r="S240" s="48">
        <f>SUM(E240:G240)/SUM(E240:G240)</f>
        <v>1</v>
      </c>
      <c r="T240" s="48">
        <v>0</v>
      </c>
      <c r="U240" s="25">
        <f t="shared" si="156"/>
        <v>0.97961065573770489</v>
      </c>
      <c r="V240" s="25">
        <f t="shared" si="156"/>
        <v>0</v>
      </c>
      <c r="W240" s="25"/>
      <c r="X240" s="25"/>
    </row>
    <row r="241" spans="1:26" x14ac:dyDescent="0.4">
      <c r="A241" s="13"/>
      <c r="B241" s="11"/>
      <c r="D241" s="46"/>
      <c r="E241" s="24"/>
      <c r="F241" s="24"/>
      <c r="G241" s="24"/>
      <c r="H241" s="24"/>
      <c r="I241" s="24"/>
      <c r="J241" s="24"/>
      <c r="K241" s="14"/>
      <c r="L241" s="14"/>
      <c r="M241" s="13"/>
      <c r="N241" s="13"/>
      <c r="O241" s="13"/>
      <c r="P241" s="13"/>
      <c r="Q241" s="13"/>
      <c r="R241" s="13"/>
      <c r="S241" s="13"/>
      <c r="T241" s="13"/>
      <c r="U241" s="13"/>
      <c r="V241" s="13"/>
      <c r="W241" s="13"/>
      <c r="X241" s="13"/>
      <c r="Z241" s="179"/>
    </row>
    <row r="242" spans="1:26" x14ac:dyDescent="0.4">
      <c r="A242" s="13"/>
      <c r="B242" s="11"/>
      <c r="C242" s="12">
        <v>2022</v>
      </c>
      <c r="D242" s="23">
        <f>SUM(E242:L242)</f>
        <v>93469400</v>
      </c>
      <c r="E242" s="29">
        <v>49761800</v>
      </c>
      <c r="F242" s="29">
        <v>22920200</v>
      </c>
      <c r="G242" s="29">
        <v>15215800</v>
      </c>
      <c r="H242" s="29">
        <v>4520100</v>
      </c>
      <c r="I242" s="29">
        <v>6834500</v>
      </c>
      <c r="J242" s="29">
        <v>-5783000</v>
      </c>
      <c r="K242" s="14"/>
      <c r="L242" s="14"/>
      <c r="M242" s="13"/>
      <c r="N242" s="13"/>
      <c r="O242" s="13"/>
      <c r="P242" s="13"/>
      <c r="Q242" s="13" t="str">
        <f>$A$233&amp;C242&amp;"ASSETS"</f>
        <v>AEP2022ASSETS</v>
      </c>
      <c r="R242" s="48">
        <f>SUM(E242:G242)/D242</f>
        <v>0.94039118684831613</v>
      </c>
      <c r="S242" s="48">
        <f>SUM(E242:G242)/SUM(E242:G242)</f>
        <v>1</v>
      </c>
      <c r="T242" s="48">
        <v>0</v>
      </c>
      <c r="U242" s="25">
        <f t="shared" ref="U242:V244" si="158">IF(OR(ISBLANK($R242),ISBLANK(S242)),"NA",$R242*S242)</f>
        <v>0.94039118684831613</v>
      </c>
      <c r="V242" s="25">
        <f t="shared" si="158"/>
        <v>0</v>
      </c>
      <c r="W242" s="25"/>
      <c r="X242" s="25"/>
    </row>
    <row r="243" spans="1:26" x14ac:dyDescent="0.4">
      <c r="A243" s="13"/>
      <c r="B243" s="11" t="s">
        <v>110</v>
      </c>
      <c r="C243" s="12">
        <v>2021</v>
      </c>
      <c r="D243" s="23">
        <f>SUM(E243:L243)</f>
        <v>87668700</v>
      </c>
      <c r="E243" s="29">
        <v>46974200</v>
      </c>
      <c r="F243" s="29">
        <v>21120200</v>
      </c>
      <c r="G243" s="29">
        <v>13873300</v>
      </c>
      <c r="H243" s="29">
        <v>4263600</v>
      </c>
      <c r="I243" s="29">
        <v>5846500</v>
      </c>
      <c r="J243" s="29">
        <v>-4409100</v>
      </c>
      <c r="K243" s="14"/>
      <c r="L243" s="14"/>
      <c r="M243" s="13"/>
      <c r="N243" s="13"/>
      <c r="O243" s="13"/>
      <c r="P243" s="13"/>
      <c r="Q243" s="13" t="str">
        <f t="shared" ref="Q243:Q244" si="159">$A$233&amp;C243&amp;"ASSETS"</f>
        <v>AEP2021ASSETS</v>
      </c>
      <c r="R243" s="48">
        <f>SUM(E243:G243)/D243</f>
        <v>0.93497109002414769</v>
      </c>
      <c r="S243" s="48">
        <f>SUM(E243:G243)/SUM(E243:G243)</f>
        <v>1</v>
      </c>
      <c r="T243" s="48">
        <v>0</v>
      </c>
      <c r="U243" s="25">
        <f t="shared" si="158"/>
        <v>0.93497109002414769</v>
      </c>
      <c r="V243" s="25">
        <f t="shared" si="158"/>
        <v>0</v>
      </c>
      <c r="W243" s="25"/>
      <c r="X243" s="25"/>
    </row>
    <row r="244" spans="1:26" x14ac:dyDescent="0.4">
      <c r="A244" s="13"/>
      <c r="B244" s="13"/>
      <c r="C244" s="12">
        <v>2020</v>
      </c>
      <c r="D244" s="23">
        <f>SUM(E244:L244)</f>
        <v>80757200</v>
      </c>
      <c r="E244" s="29">
        <v>42752700</v>
      </c>
      <c r="F244" s="29">
        <v>19765900</v>
      </c>
      <c r="G244" s="29">
        <v>12627300</v>
      </c>
      <c r="H244" s="29">
        <v>3585900</v>
      </c>
      <c r="I244" s="29">
        <v>5987100</v>
      </c>
      <c r="J244" s="29">
        <v>-3961700</v>
      </c>
      <c r="K244" s="14"/>
      <c r="L244" s="14"/>
      <c r="M244" s="13"/>
      <c r="N244" s="13"/>
      <c r="O244" s="13"/>
      <c r="P244" s="13"/>
      <c r="Q244" s="13" t="str">
        <f t="shared" si="159"/>
        <v>AEP2020ASSETS</v>
      </c>
      <c r="R244" s="48">
        <f>SUM(E244:G244)/D244</f>
        <v>0.9305164121589159</v>
      </c>
      <c r="S244" s="48">
        <f>SUM(E244:G244)/SUM(E244:G244)</f>
        <v>1</v>
      </c>
      <c r="T244" s="48">
        <v>0</v>
      </c>
      <c r="U244" s="25">
        <f t="shared" si="158"/>
        <v>0.9305164121589159</v>
      </c>
      <c r="V244" s="25">
        <f t="shared" si="158"/>
        <v>0</v>
      </c>
      <c r="W244" s="25"/>
      <c r="X244" s="25"/>
    </row>
    <row r="245" spans="1:26" x14ac:dyDescent="0.4">
      <c r="B245" s="137"/>
      <c r="D245" s="184"/>
      <c r="R245" s="133"/>
      <c r="S245" s="133"/>
      <c r="T245" s="133"/>
      <c r="U245" s="133"/>
      <c r="V245" s="178"/>
      <c r="W245" s="178"/>
      <c r="X245" s="178"/>
      <c r="Z245" s="179"/>
    </row>
    <row r="246" spans="1:26" x14ac:dyDescent="0.4">
      <c r="D246" s="184"/>
    </row>
    <row r="247" spans="1:26" x14ac:dyDescent="0.4">
      <c r="D247" s="184"/>
    </row>
    <row r="248" spans="1:26" x14ac:dyDescent="0.4">
      <c r="A248" s="10" t="s">
        <v>26</v>
      </c>
      <c r="B248" s="11"/>
      <c r="C248" s="12"/>
      <c r="D248" s="13"/>
      <c r="E248" s="19"/>
      <c r="F248" s="19"/>
      <c r="G248" s="19"/>
      <c r="H248" s="19"/>
      <c r="I248" s="19"/>
      <c r="J248" s="19"/>
      <c r="K248" s="19"/>
      <c r="L248" s="14"/>
      <c r="M248" s="14"/>
      <c r="N248" s="13"/>
      <c r="O248" s="13"/>
      <c r="P248" s="13"/>
      <c r="Q248" s="13"/>
      <c r="R248" s="13"/>
    </row>
    <row r="249" spans="1:26" x14ac:dyDescent="0.4">
      <c r="A249" s="13" t="s">
        <v>443</v>
      </c>
      <c r="B249" s="11"/>
      <c r="C249" s="12"/>
      <c r="D249" s="13"/>
      <c r="E249" s="19"/>
      <c r="F249" s="19"/>
      <c r="G249" s="19"/>
      <c r="H249" s="19"/>
      <c r="I249" s="19"/>
      <c r="J249" s="19"/>
      <c r="K249" s="19"/>
      <c r="L249" s="14"/>
      <c r="M249" s="14"/>
      <c r="N249" s="13"/>
      <c r="O249" s="13"/>
      <c r="P249" s="13"/>
      <c r="Q249" s="13"/>
      <c r="R249" s="13"/>
    </row>
    <row r="250" spans="1:26" ht="36.9" x14ac:dyDescent="0.4">
      <c r="A250" s="10" t="s">
        <v>27</v>
      </c>
      <c r="B250" s="11"/>
      <c r="C250" s="12" t="s">
        <v>127</v>
      </c>
      <c r="D250" s="12" t="s">
        <v>96</v>
      </c>
      <c r="E250" s="17" t="s">
        <v>128</v>
      </c>
      <c r="F250" s="17" t="s">
        <v>129</v>
      </c>
      <c r="G250" s="17" t="s">
        <v>130</v>
      </c>
      <c r="H250" s="13"/>
      <c r="I250" s="19"/>
      <c r="J250" s="19"/>
      <c r="K250" s="19"/>
      <c r="L250" s="14"/>
      <c r="M250" s="14"/>
      <c r="N250" s="13"/>
      <c r="O250" s="13"/>
      <c r="P250" s="13"/>
      <c r="Q250" s="20"/>
      <c r="R250" s="21" t="s">
        <v>102</v>
      </c>
      <c r="S250" s="176" t="s">
        <v>103</v>
      </c>
      <c r="T250" s="176" t="s">
        <v>104</v>
      </c>
      <c r="U250" s="176" t="s">
        <v>105</v>
      </c>
      <c r="V250" s="176" t="s">
        <v>106</v>
      </c>
      <c r="W250" s="177"/>
      <c r="X250" s="177"/>
    </row>
    <row r="251" spans="1:26" ht="12.6" x14ac:dyDescent="0.45">
      <c r="A251" s="13"/>
      <c r="B251" s="11"/>
      <c r="C251" s="12">
        <v>2022</v>
      </c>
      <c r="D251" s="23">
        <f>SUM(E251:G251)</f>
        <v>7923000</v>
      </c>
      <c r="E251" s="17">
        <v>6782000</v>
      </c>
      <c r="F251" s="17">
        <v>1141000</v>
      </c>
      <c r="G251" s="17">
        <v>0</v>
      </c>
      <c r="H251" s="13"/>
      <c r="I251" s="19"/>
      <c r="J251" s="19"/>
      <c r="K251" s="19"/>
      <c r="L251" s="14"/>
      <c r="M251" s="14"/>
      <c r="N251" s="13"/>
      <c r="O251" s="13"/>
      <c r="P251" s="13"/>
      <c r="Q251" s="13" t="str">
        <f>$A$250&amp;C251&amp;"REV"</f>
        <v>AGR2022REV</v>
      </c>
      <c r="R251" s="186">
        <f>E251/D251</f>
        <v>0.85598889309604953</v>
      </c>
      <c r="S251" s="131">
        <v>0.83362499166669202</v>
      </c>
      <c r="T251" s="131">
        <v>0.16637500833330801</v>
      </c>
      <c r="U251" s="178">
        <f t="shared" ref="U251:V253" si="160">IF(OR(ISBLANK($R251),ISBLANK(S251)),"NA",$R251*S251)</f>
        <v>0.71357373387397516</v>
      </c>
      <c r="V251" s="178">
        <f t="shared" si="160"/>
        <v>0.14241515922207434</v>
      </c>
      <c r="W251" s="178"/>
      <c r="X251" s="178"/>
    </row>
    <row r="252" spans="1:26" ht="14.4" x14ac:dyDescent="0.55000000000000004">
      <c r="A252" s="13"/>
      <c r="B252" s="11" t="s">
        <v>107</v>
      </c>
      <c r="C252" s="12">
        <v>2021</v>
      </c>
      <c r="D252" s="23">
        <f>SUM(E252:G252)</f>
        <v>6974000</v>
      </c>
      <c r="E252" s="187">
        <v>5754000</v>
      </c>
      <c r="F252" s="187">
        <v>1220000</v>
      </c>
      <c r="G252" s="187">
        <v>0</v>
      </c>
      <c r="H252" s="13"/>
      <c r="I252" s="19"/>
      <c r="J252" s="19"/>
      <c r="K252" s="19"/>
      <c r="L252" s="14"/>
      <c r="M252" s="14"/>
      <c r="N252" s="13"/>
      <c r="O252" s="13"/>
      <c r="P252" s="13"/>
      <c r="Q252" s="13" t="str">
        <f t="shared" ref="Q252:Q253" si="161">$A$250&amp;C252&amp;"REV"</f>
        <v>AGR2021REV</v>
      </c>
      <c r="R252" s="186">
        <f t="shared" ref="R252:R261" si="162">E252/D252</f>
        <v>0.82506452537998276</v>
      </c>
      <c r="S252" s="131">
        <v>0.72103829042193424</v>
      </c>
      <c r="T252" s="131">
        <v>0.27896170957806576</v>
      </c>
      <c r="U252" s="178">
        <f t="shared" si="160"/>
        <v>0.59490311486776737</v>
      </c>
      <c r="V252" s="178">
        <f t="shared" si="160"/>
        <v>0.23016141051221542</v>
      </c>
      <c r="W252" s="178"/>
      <c r="X252" s="178"/>
    </row>
    <row r="253" spans="1:26" ht="12.6" x14ac:dyDescent="0.45">
      <c r="A253" s="13"/>
      <c r="B253" s="11"/>
      <c r="C253" s="12">
        <v>2020</v>
      </c>
      <c r="D253" s="23">
        <f>SUM(E253:G253)</f>
        <v>6320000</v>
      </c>
      <c r="E253" s="19">
        <v>5188000</v>
      </c>
      <c r="F253" s="19">
        <v>1132000</v>
      </c>
      <c r="G253" s="19">
        <v>0</v>
      </c>
      <c r="H253" s="13"/>
      <c r="I253" s="19"/>
      <c r="J253" s="19"/>
      <c r="K253" s="19"/>
      <c r="L253" s="14"/>
      <c r="M253" s="14"/>
      <c r="N253" s="13"/>
      <c r="O253" s="13"/>
      <c r="P253" s="13"/>
      <c r="Q253" s="13" t="str">
        <f t="shared" si="161"/>
        <v>AGR2020REV</v>
      </c>
      <c r="R253" s="186">
        <f t="shared" si="162"/>
        <v>0.82088607594936713</v>
      </c>
      <c r="S253" s="131">
        <v>0.73881190690020371</v>
      </c>
      <c r="T253" s="131">
        <v>0.26118809309979624</v>
      </c>
      <c r="U253" s="178">
        <f t="shared" si="160"/>
        <v>0.60648040711997742</v>
      </c>
      <c r="V253" s="178">
        <f t="shared" si="160"/>
        <v>0.21440566882938972</v>
      </c>
      <c r="W253" s="178"/>
      <c r="X253" s="178"/>
    </row>
    <row r="254" spans="1:26" x14ac:dyDescent="0.4">
      <c r="A254" s="13"/>
      <c r="B254" s="11"/>
      <c r="D254" s="13"/>
      <c r="E254" s="19"/>
      <c r="F254" s="19"/>
      <c r="G254" s="19"/>
      <c r="H254" s="13"/>
      <c r="I254" s="19"/>
      <c r="J254" s="19"/>
      <c r="K254" s="19"/>
      <c r="L254" s="14"/>
      <c r="M254" s="14"/>
      <c r="N254" s="13"/>
      <c r="O254" s="13"/>
      <c r="P254" s="13"/>
      <c r="Q254" s="13"/>
      <c r="R254" s="188"/>
    </row>
    <row r="255" spans="1:26" ht="12.6" x14ac:dyDescent="0.45">
      <c r="A255" s="13"/>
      <c r="B255" s="11"/>
      <c r="C255" s="12">
        <v>2022</v>
      </c>
      <c r="D255" s="23">
        <f>SUM(E255:G255)</f>
        <v>852000</v>
      </c>
      <c r="E255" s="19">
        <v>901000</v>
      </c>
      <c r="F255" s="19">
        <v>-36000</v>
      </c>
      <c r="G255" s="19">
        <v>-13000</v>
      </c>
      <c r="H255" s="13"/>
      <c r="I255" s="19"/>
      <c r="J255" s="19"/>
      <c r="K255" s="19"/>
      <c r="L255" s="14"/>
      <c r="M255" s="14"/>
      <c r="N255" s="13"/>
      <c r="O255" s="13"/>
      <c r="P255" s="13"/>
      <c r="Q255" s="13" t="str">
        <f>$A$250&amp;C255&amp;"INC"</f>
        <v>AGR2022INC</v>
      </c>
      <c r="R255" s="186">
        <f>IF(E255/D255&gt;100%,100%, E255/D255)</f>
        <v>1</v>
      </c>
      <c r="S255" s="131">
        <v>0.85341251231390391</v>
      </c>
      <c r="T255" s="131">
        <v>0.14658748768609603</v>
      </c>
      <c r="U255" s="178">
        <f t="shared" ref="U255:V257" si="163">IF(OR(ISBLANK($R255),ISBLANK(S255)),"NA",$R255*S255)</f>
        <v>0.85341251231390391</v>
      </c>
      <c r="V255" s="178">
        <f t="shared" si="163"/>
        <v>0.14658748768609603</v>
      </c>
      <c r="W255" s="178"/>
      <c r="X255" s="178"/>
    </row>
    <row r="256" spans="1:26" ht="12.6" x14ac:dyDescent="0.45">
      <c r="A256" s="13"/>
      <c r="B256" s="11" t="s">
        <v>109</v>
      </c>
      <c r="C256" s="12">
        <v>2021</v>
      </c>
      <c r="D256" s="23">
        <f>SUM(E256:G256)</f>
        <v>895000</v>
      </c>
      <c r="E256" s="19">
        <v>876000</v>
      </c>
      <c r="F256" s="19">
        <v>26000</v>
      </c>
      <c r="G256" s="19">
        <v>-7000</v>
      </c>
      <c r="H256" s="13"/>
      <c r="I256" s="19"/>
      <c r="J256" s="19"/>
      <c r="K256" s="19"/>
      <c r="L256" s="14"/>
      <c r="M256" s="14"/>
      <c r="N256" s="13"/>
      <c r="O256" s="13"/>
      <c r="P256" s="13"/>
      <c r="Q256" s="13" t="str">
        <f t="shared" ref="Q256:Q257" si="164">$A$250&amp;C256&amp;"INC"</f>
        <v>AGR2021INC</v>
      </c>
      <c r="R256" s="186">
        <f t="shared" ref="R256:R257" si="165">IF(E256/D256&gt;100%,100%, E256/D256)</f>
        <v>0.97877094972067036</v>
      </c>
      <c r="S256" s="131">
        <v>0.74729820020184656</v>
      </c>
      <c r="T256" s="131">
        <v>0.25270179979815349</v>
      </c>
      <c r="U256" s="178">
        <f t="shared" si="163"/>
        <v>0.73143376913610902</v>
      </c>
      <c r="V256" s="178">
        <f t="shared" si="163"/>
        <v>0.24733718058456139</v>
      </c>
      <c r="W256" s="178"/>
      <c r="X256" s="178"/>
    </row>
    <row r="257" spans="1:24" ht="12.6" x14ac:dyDescent="0.45">
      <c r="A257" s="13"/>
      <c r="B257" s="11"/>
      <c r="C257" s="12">
        <v>2020</v>
      </c>
      <c r="D257" s="23">
        <f>SUM(E257:G257)</f>
        <v>869000</v>
      </c>
      <c r="E257" s="19">
        <v>877000</v>
      </c>
      <c r="F257" s="19">
        <v>-16000</v>
      </c>
      <c r="G257" s="19">
        <v>8000</v>
      </c>
      <c r="H257" s="13"/>
      <c r="I257" s="19"/>
      <c r="J257" s="19"/>
      <c r="K257" s="19"/>
      <c r="L257" s="14"/>
      <c r="M257" s="14"/>
      <c r="N257" s="13"/>
      <c r="O257" s="13"/>
      <c r="P257" s="13"/>
      <c r="Q257" s="13" t="str">
        <f t="shared" si="164"/>
        <v>AGR2020INC</v>
      </c>
      <c r="R257" s="186">
        <f t="shared" si="165"/>
        <v>1</v>
      </c>
      <c r="S257" s="131">
        <v>0.76269667081586567</v>
      </c>
      <c r="T257" s="131">
        <v>0.2373033291841343</v>
      </c>
      <c r="U257" s="178">
        <f t="shared" si="163"/>
        <v>0.76269667081586567</v>
      </c>
      <c r="V257" s="178">
        <f t="shared" si="163"/>
        <v>0.2373033291841343</v>
      </c>
      <c r="W257" s="178"/>
      <c r="X257" s="178"/>
    </row>
    <row r="258" spans="1:24" x14ac:dyDescent="0.4">
      <c r="A258" s="13"/>
      <c r="B258" s="11"/>
      <c r="D258" s="46"/>
      <c r="E258" s="19"/>
      <c r="F258" s="19"/>
      <c r="G258" s="19"/>
      <c r="H258" s="13"/>
      <c r="I258" s="19"/>
      <c r="J258" s="19"/>
      <c r="K258" s="19"/>
      <c r="L258" s="14"/>
      <c r="M258" s="14"/>
      <c r="N258" s="13"/>
      <c r="O258" s="13"/>
      <c r="P258" s="13"/>
      <c r="Q258" s="13"/>
      <c r="R258" s="188"/>
    </row>
    <row r="259" spans="1:24" ht="12.6" x14ac:dyDescent="0.45">
      <c r="A259" s="13"/>
      <c r="B259" s="11"/>
      <c r="C259" s="12">
        <v>2022</v>
      </c>
      <c r="D259" s="23">
        <f>SUM(E259:G259)</f>
        <v>41103000</v>
      </c>
      <c r="E259" s="19">
        <v>28069000</v>
      </c>
      <c r="F259" s="19">
        <v>13533000</v>
      </c>
      <c r="G259" s="19">
        <v>-499000</v>
      </c>
      <c r="H259" s="13"/>
      <c r="I259" s="19"/>
      <c r="J259" s="19"/>
      <c r="K259" s="19"/>
      <c r="L259" s="14"/>
      <c r="M259" s="14"/>
      <c r="N259" s="13"/>
      <c r="O259" s="13"/>
      <c r="P259" s="13"/>
      <c r="Q259" s="13" t="str">
        <f>$A$250&amp;C259&amp;"ASSETS"</f>
        <v>AGR2022ASSETS</v>
      </c>
      <c r="R259" s="186">
        <f t="shared" si="162"/>
        <v>0.68289419263800699</v>
      </c>
      <c r="S259" s="131">
        <v>0.8922009124645246</v>
      </c>
      <c r="T259" s="131">
        <v>0.10779908753547537</v>
      </c>
      <c r="U259" s="178">
        <f t="shared" ref="U259:V261" si="166">IF(OR(ISBLANK($R259),ISBLANK(S259)),"NA",$R259*S259)</f>
        <v>0.60927882178835469</v>
      </c>
      <c r="V259" s="178">
        <f t="shared" si="166"/>
        <v>7.3615370849652292E-2</v>
      </c>
      <c r="W259" s="178"/>
      <c r="X259" s="178"/>
    </row>
    <row r="260" spans="1:24" ht="12.6" x14ac:dyDescent="0.45">
      <c r="A260" s="13"/>
      <c r="B260" s="12" t="s">
        <v>110</v>
      </c>
      <c r="C260" s="12">
        <v>2021</v>
      </c>
      <c r="D260" s="23">
        <f>SUM(E260:G260)</f>
        <v>39504000</v>
      </c>
      <c r="E260" s="19">
        <v>26126000</v>
      </c>
      <c r="F260" s="19">
        <v>12578000</v>
      </c>
      <c r="G260" s="19">
        <v>800000</v>
      </c>
      <c r="H260" s="13"/>
      <c r="I260" s="19"/>
      <c r="J260" s="19"/>
      <c r="K260" s="19"/>
      <c r="L260" s="14"/>
      <c r="M260" s="14"/>
      <c r="N260" s="13"/>
      <c r="O260" s="13"/>
      <c r="P260" s="13"/>
      <c r="Q260" s="13" t="str">
        <f t="shared" ref="Q260:Q261" si="167">$A$250&amp;C260&amp;"ASSETS"</f>
        <v>AGR2021ASSETS</v>
      </c>
      <c r="R260" s="186">
        <f t="shared" si="162"/>
        <v>0.66135074929121107</v>
      </c>
      <c r="S260" s="131">
        <v>0.88925707845461721</v>
      </c>
      <c r="T260" s="131">
        <v>0.11074292154538273</v>
      </c>
      <c r="U260" s="178">
        <f t="shared" si="166"/>
        <v>0.5881108351484744</v>
      </c>
      <c r="V260" s="178">
        <f t="shared" si="166"/>
        <v>7.3239914142736673E-2</v>
      </c>
      <c r="W260" s="178"/>
      <c r="X260" s="178"/>
    </row>
    <row r="261" spans="1:24" ht="12.6" x14ac:dyDescent="0.45">
      <c r="A261" s="13"/>
      <c r="B261" s="13"/>
      <c r="C261" s="12">
        <v>2020</v>
      </c>
      <c r="D261" s="23">
        <f>SUM(E261:G261)</f>
        <v>37823000</v>
      </c>
      <c r="E261" s="19">
        <v>24592000</v>
      </c>
      <c r="F261" s="19">
        <v>12867000</v>
      </c>
      <c r="G261" s="19">
        <v>364000</v>
      </c>
      <c r="H261" s="13"/>
      <c r="I261" s="19"/>
      <c r="J261" s="19"/>
      <c r="K261" s="19"/>
      <c r="L261" s="14"/>
      <c r="M261" s="14"/>
      <c r="N261" s="13"/>
      <c r="O261" s="13"/>
      <c r="P261" s="13"/>
      <c r="Q261" s="13" t="str">
        <f t="shared" si="167"/>
        <v>AGR2020ASSETS</v>
      </c>
      <c r="R261" s="186">
        <f t="shared" si="162"/>
        <v>0.65018639452185178</v>
      </c>
      <c r="S261" s="131">
        <v>0.8903127463045224</v>
      </c>
      <c r="T261" s="131">
        <v>0.10968725369547758</v>
      </c>
      <c r="U261" s="178">
        <f t="shared" si="166"/>
        <v>0.57886923451658556</v>
      </c>
      <c r="V261" s="178">
        <f t="shared" si="166"/>
        <v>7.1317160005266222E-2</v>
      </c>
      <c r="W261" s="178"/>
      <c r="X261" s="178"/>
    </row>
    <row r="262" spans="1:24" x14ac:dyDescent="0.4">
      <c r="D262" s="184"/>
    </row>
    <row r="263" spans="1:24" x14ac:dyDescent="0.4">
      <c r="D263" s="184"/>
    </row>
    <row r="264" spans="1:24" x14ac:dyDescent="0.4">
      <c r="D264" s="184"/>
    </row>
    <row r="265" spans="1:24" x14ac:dyDescent="0.4">
      <c r="A265" s="10" t="s">
        <v>28</v>
      </c>
      <c r="B265" s="11"/>
      <c r="C265" s="12"/>
      <c r="D265" s="54"/>
      <c r="E265" s="13"/>
      <c r="F265" s="24"/>
      <c r="G265" s="24"/>
      <c r="H265" s="24"/>
      <c r="I265" s="14"/>
      <c r="J265" s="14"/>
      <c r="K265" s="14"/>
      <c r="L265" s="14"/>
      <c r="M265" s="14"/>
      <c r="N265" s="13"/>
      <c r="O265" s="13"/>
      <c r="P265" s="13"/>
      <c r="Q265" s="13"/>
      <c r="R265" s="13"/>
    </row>
    <row r="266" spans="1:24" x14ac:dyDescent="0.4">
      <c r="A266" s="15" t="s">
        <v>444</v>
      </c>
      <c r="B266" s="11"/>
      <c r="C266" s="12"/>
      <c r="D266" s="54"/>
      <c r="E266" s="15"/>
      <c r="F266" s="24"/>
      <c r="G266" s="24"/>
      <c r="H266" s="24"/>
      <c r="I266" s="14"/>
      <c r="J266" s="14"/>
      <c r="K266" s="14"/>
      <c r="L266" s="14"/>
      <c r="M266" s="14"/>
      <c r="N266" s="13"/>
      <c r="O266" s="13"/>
      <c r="P266" s="13"/>
      <c r="Q266" s="13"/>
      <c r="R266" s="13"/>
    </row>
    <row r="267" spans="1:24" ht="36.9" x14ac:dyDescent="0.4">
      <c r="A267" s="10" t="s">
        <v>29</v>
      </c>
      <c r="B267" s="11"/>
      <c r="C267" s="12"/>
      <c r="D267" s="12" t="s">
        <v>96</v>
      </c>
      <c r="E267" s="51" t="s">
        <v>131</v>
      </c>
      <c r="F267" s="51" t="s">
        <v>132</v>
      </c>
      <c r="G267" s="51" t="s">
        <v>130</v>
      </c>
      <c r="H267" s="51" t="s">
        <v>133</v>
      </c>
      <c r="I267" s="14"/>
      <c r="J267" s="14"/>
      <c r="K267" s="14"/>
      <c r="L267" s="14"/>
      <c r="M267" s="14"/>
      <c r="N267" s="13"/>
      <c r="O267" s="13"/>
      <c r="P267" s="13"/>
      <c r="Q267" s="20"/>
      <c r="R267" s="21" t="s">
        <v>102</v>
      </c>
      <c r="S267" s="176" t="s">
        <v>103</v>
      </c>
      <c r="T267" s="176" t="s">
        <v>104</v>
      </c>
      <c r="U267" s="176" t="s">
        <v>105</v>
      </c>
      <c r="V267" s="176" t="s">
        <v>106</v>
      </c>
      <c r="W267" s="177"/>
      <c r="X267" s="177"/>
    </row>
    <row r="268" spans="1:24" ht="12.6" x14ac:dyDescent="0.45">
      <c r="A268" s="10"/>
      <c r="B268" s="11"/>
      <c r="C268" s="12">
        <v>2022</v>
      </c>
      <c r="D268" s="23">
        <f>SUM(E268:H268)</f>
        <v>1710207</v>
      </c>
      <c r="E268" s="51">
        <v>1663815</v>
      </c>
      <c r="F268" s="51">
        <v>45704</v>
      </c>
      <c r="G268" s="51">
        <v>688</v>
      </c>
      <c r="H268" s="51">
        <v>0</v>
      </c>
      <c r="I268" s="14"/>
      <c r="J268" s="14"/>
      <c r="K268" s="14"/>
      <c r="L268" s="14"/>
      <c r="M268" s="14"/>
      <c r="N268" s="13"/>
      <c r="O268" s="13"/>
      <c r="P268" s="13"/>
      <c r="Q268" s="13" t="str">
        <f>$A$267&amp;C268&amp;"REV"</f>
        <v>AVA2022REV</v>
      </c>
      <c r="R268" s="48">
        <f>(E268+F268)/D268</f>
        <v>0.99959770951703508</v>
      </c>
      <c r="S268" s="131">
        <v>0.67456140107180662</v>
      </c>
      <c r="T268" s="131">
        <v>0.32543859892819338</v>
      </c>
      <c r="U268" s="178">
        <f>IF(OR(ISBLANK($R268),ISBLANK(S268)),"NA",$R268*S268)</f>
        <v>0.6742900314399799</v>
      </c>
      <c r="V268" s="178">
        <f>IF(OR(ISBLANK($R268),ISBLANK(T268)),"NA",$R268*T268)</f>
        <v>0.32530767807705513</v>
      </c>
      <c r="W268" s="178"/>
      <c r="X268" s="178"/>
    </row>
    <row r="269" spans="1:24" ht="12.6" x14ac:dyDescent="0.45">
      <c r="A269" s="10"/>
      <c r="B269" s="11" t="s">
        <v>107</v>
      </c>
      <c r="C269" s="12">
        <v>2021</v>
      </c>
      <c r="D269" s="23">
        <f>SUM(E269:H269)</f>
        <v>1438936</v>
      </c>
      <c r="E269" s="51">
        <v>1392999</v>
      </c>
      <c r="F269" s="51">
        <v>45366</v>
      </c>
      <c r="G269" s="51">
        <v>571</v>
      </c>
      <c r="H269" s="51">
        <v>0</v>
      </c>
      <c r="I269" s="14"/>
      <c r="J269" s="14"/>
      <c r="K269" s="14"/>
      <c r="L269" s="14"/>
      <c r="M269" s="14"/>
      <c r="N269" s="13"/>
      <c r="O269" s="13"/>
      <c r="P269" s="13"/>
      <c r="Q269" s="13" t="str">
        <f t="shared" ref="Q269:Q270" si="168">$A$267&amp;C269&amp;"REV"</f>
        <v>AVA2021REV</v>
      </c>
      <c r="R269" s="48">
        <f>(E269+F269)/D269</f>
        <v>0.99960317901560602</v>
      </c>
      <c r="S269" s="131">
        <v>0.69272505130765583</v>
      </c>
      <c r="T269" s="131">
        <v>0.30727494869234417</v>
      </c>
      <c r="U269" s="178">
        <f t="shared" ref="U269:V270" si="169">IF(OR(ISBLANK($R269),ISBLANK(S269)),"NA",$R269*S269)</f>
        <v>0.69245016347088151</v>
      </c>
      <c r="V269" s="178">
        <f t="shared" si="169"/>
        <v>0.30715301554472446</v>
      </c>
      <c r="W269" s="178"/>
      <c r="X269" s="178"/>
    </row>
    <row r="270" spans="1:24" ht="14.4" x14ac:dyDescent="0.55000000000000004">
      <c r="A270" s="13"/>
      <c r="B270" s="11"/>
      <c r="C270" s="12">
        <v>2020</v>
      </c>
      <c r="D270" s="23">
        <f>SUM(E270:H270)</f>
        <v>1321891</v>
      </c>
      <c r="E270" s="183">
        <v>1277468</v>
      </c>
      <c r="F270" s="183">
        <v>42809</v>
      </c>
      <c r="G270" s="183">
        <v>1614</v>
      </c>
      <c r="H270" s="183">
        <v>0</v>
      </c>
      <c r="I270" s="14"/>
      <c r="J270" s="14"/>
      <c r="K270" s="14"/>
      <c r="L270" s="14"/>
      <c r="M270" s="14"/>
      <c r="N270" s="13"/>
      <c r="O270" s="13"/>
      <c r="P270" s="13"/>
      <c r="Q270" s="13" t="str">
        <f t="shared" si="168"/>
        <v>AVA2020REV</v>
      </c>
      <c r="R270" s="48">
        <f>(E270+F270)/D270</f>
        <v>0.99877902187094092</v>
      </c>
      <c r="S270" s="131">
        <v>0.69318125189943869</v>
      </c>
      <c r="T270" s="131">
        <v>0.30681874810056131</v>
      </c>
      <c r="U270" s="178">
        <f t="shared" si="169"/>
        <v>0.6923348927513957</v>
      </c>
      <c r="V270" s="178">
        <f t="shared" si="169"/>
        <v>0.30644412911954522</v>
      </c>
      <c r="W270" s="178"/>
      <c r="X270" s="178"/>
    </row>
    <row r="271" spans="1:24" x14ac:dyDescent="0.4">
      <c r="A271" s="13"/>
      <c r="B271" s="11"/>
      <c r="D271" s="13"/>
      <c r="E271" s="24"/>
      <c r="F271" s="24"/>
      <c r="G271" s="24"/>
      <c r="H271" s="24"/>
      <c r="I271" s="14"/>
      <c r="J271" s="19"/>
      <c r="K271" s="14"/>
      <c r="L271" s="14"/>
      <c r="M271" s="14"/>
      <c r="N271" s="13"/>
      <c r="O271" s="13"/>
      <c r="P271" s="13"/>
      <c r="Q271" s="13"/>
      <c r="R271" s="13"/>
    </row>
    <row r="272" spans="1:24" ht="12.6" x14ac:dyDescent="0.45">
      <c r="A272" s="13"/>
      <c r="B272" s="11"/>
      <c r="C272" s="12">
        <v>2022</v>
      </c>
      <c r="D272" s="23">
        <f>SUM(E272:H272)</f>
        <v>190242</v>
      </c>
      <c r="E272" s="24">
        <v>185582</v>
      </c>
      <c r="F272" s="24">
        <v>15700</v>
      </c>
      <c r="G272" s="24">
        <v>-11040</v>
      </c>
      <c r="H272" s="24">
        <v>0</v>
      </c>
      <c r="I272" s="14"/>
      <c r="J272" s="19"/>
      <c r="K272" s="14"/>
      <c r="L272" s="14"/>
      <c r="M272" s="14"/>
      <c r="N272" s="13"/>
      <c r="O272" s="13"/>
      <c r="P272" s="13"/>
      <c r="Q272" s="13" t="str">
        <f>$A$267&amp;C272&amp;"INC"</f>
        <v>AVA2022INC</v>
      </c>
      <c r="R272" s="48">
        <f>IF((E272+F272)/D272&gt;100%,100%, (E272+F272)/D272)</f>
        <v>1</v>
      </c>
      <c r="S272" s="131">
        <v>0.7187752658237806</v>
      </c>
      <c r="T272" s="131">
        <v>0.2812247341762194</v>
      </c>
      <c r="U272" s="178">
        <f>IF(OR(ISBLANK($R272),ISBLANK(S272)),"NA",$R272*S272)</f>
        <v>0.7187752658237806</v>
      </c>
      <c r="V272" s="178">
        <f>IF(OR(ISBLANK($R272),ISBLANK(T272)),"NA",$R272*T272)</f>
        <v>0.2812247341762194</v>
      </c>
      <c r="W272" s="178"/>
      <c r="X272" s="178"/>
    </row>
    <row r="273" spans="1:24" ht="12.6" x14ac:dyDescent="0.45">
      <c r="A273" s="13"/>
      <c r="B273" s="11" t="s">
        <v>109</v>
      </c>
      <c r="C273" s="12">
        <v>2021</v>
      </c>
      <c r="D273" s="23">
        <f>SUM(E273:H273)</f>
        <v>228232</v>
      </c>
      <c r="E273" s="24">
        <v>217663</v>
      </c>
      <c r="F273" s="24">
        <v>16186</v>
      </c>
      <c r="G273" s="24">
        <v>-5617</v>
      </c>
      <c r="H273" s="24">
        <v>0</v>
      </c>
      <c r="I273" s="14"/>
      <c r="J273" s="19"/>
      <c r="K273" s="14"/>
      <c r="L273" s="14"/>
      <c r="M273" s="14"/>
      <c r="N273" s="13"/>
      <c r="O273" s="13"/>
      <c r="P273" s="13"/>
      <c r="Q273" s="13" t="str">
        <f t="shared" ref="Q273:Q274" si="170">$A$267&amp;C273&amp;"INC"</f>
        <v>AVA2021INC</v>
      </c>
      <c r="R273" s="48">
        <f t="shared" ref="R273:R274" si="171">IF((E273+F273)/D273&gt;100%,100%, (E273+F273)/D273)</f>
        <v>1</v>
      </c>
      <c r="S273" s="131">
        <v>0.73955647240845801</v>
      </c>
      <c r="T273" s="131">
        <v>0.26044352759154205</v>
      </c>
      <c r="U273" s="178">
        <f t="shared" ref="U273:V274" si="172">IF(OR(ISBLANK($R273),ISBLANK(S273)),"NA",$R273*S273)</f>
        <v>0.73955647240845801</v>
      </c>
      <c r="V273" s="178">
        <f t="shared" si="172"/>
        <v>0.26044352759154205</v>
      </c>
      <c r="W273" s="178"/>
      <c r="X273" s="178"/>
    </row>
    <row r="274" spans="1:24" ht="12.6" x14ac:dyDescent="0.45">
      <c r="A274" s="13"/>
      <c r="B274" s="11"/>
      <c r="C274" s="12">
        <v>2020</v>
      </c>
      <c r="D274" s="23">
        <f>SUM(E274:H274)</f>
        <v>232700</v>
      </c>
      <c r="E274" s="24">
        <v>220058</v>
      </c>
      <c r="F274" s="24">
        <v>17088</v>
      </c>
      <c r="G274" s="24">
        <v>-4446</v>
      </c>
      <c r="H274" s="24">
        <v>0</v>
      </c>
      <c r="I274" s="14"/>
      <c r="J274" s="14"/>
      <c r="K274" s="14"/>
      <c r="L274" s="14"/>
      <c r="M274" s="14"/>
      <c r="N274" s="13"/>
      <c r="O274" s="13"/>
      <c r="P274" s="13"/>
      <c r="Q274" s="13" t="str">
        <f t="shared" si="170"/>
        <v>AVA2020INC</v>
      </c>
      <c r="R274" s="48">
        <f t="shared" si="171"/>
        <v>1</v>
      </c>
      <c r="S274" s="131">
        <v>0.75728805773022223</v>
      </c>
      <c r="T274" s="131">
        <v>0.24271194226977777</v>
      </c>
      <c r="U274" s="178">
        <f t="shared" si="172"/>
        <v>0.75728805773022223</v>
      </c>
      <c r="V274" s="178">
        <f t="shared" si="172"/>
        <v>0.24271194226977777</v>
      </c>
      <c r="W274" s="178"/>
      <c r="X274" s="178"/>
    </row>
    <row r="275" spans="1:24" x14ac:dyDescent="0.4">
      <c r="A275" s="13"/>
      <c r="B275" s="11"/>
      <c r="D275" s="46"/>
      <c r="E275" s="24"/>
      <c r="F275" s="24"/>
      <c r="G275" s="24"/>
      <c r="H275" s="24"/>
      <c r="I275" s="14"/>
      <c r="J275" s="14"/>
      <c r="K275" s="14"/>
      <c r="L275" s="14"/>
      <c r="M275" s="14"/>
      <c r="N275" s="13"/>
      <c r="O275" s="13"/>
      <c r="P275" s="13"/>
      <c r="Q275" s="13"/>
      <c r="R275" s="13"/>
    </row>
    <row r="276" spans="1:24" ht="12.6" x14ac:dyDescent="0.45">
      <c r="A276" s="13"/>
      <c r="B276" s="11"/>
      <c r="C276" s="12">
        <v>2022</v>
      </c>
      <c r="D276" s="23">
        <f>SUM(E276:H276)</f>
        <v>7417350</v>
      </c>
      <c r="E276" s="24">
        <v>6976164</v>
      </c>
      <c r="F276" s="24">
        <v>264322</v>
      </c>
      <c r="G276" s="24">
        <v>187027</v>
      </c>
      <c r="H276" s="24">
        <v>-10163</v>
      </c>
      <c r="I276" s="14"/>
      <c r="J276" s="14"/>
      <c r="K276" s="14"/>
      <c r="L276" s="14"/>
      <c r="M276" s="14"/>
      <c r="N276" s="13"/>
      <c r="O276" s="13"/>
      <c r="P276" s="13"/>
      <c r="Q276" s="13" t="str">
        <f>$A$267&amp;C276&amp;"ASSETS"</f>
        <v>AVA2022ASSETS</v>
      </c>
      <c r="R276" s="48">
        <f>(E276+F276)/D276</f>
        <v>0.97615536546071036</v>
      </c>
      <c r="S276" s="131">
        <v>0.76123368568232541</v>
      </c>
      <c r="T276" s="131">
        <v>0.23876631431767459</v>
      </c>
      <c r="U276" s="178">
        <f>IF(OR(ISBLANK($R276),ISBLANK(S276)),"NA",$R276*S276)</f>
        <v>0.74308234664823392</v>
      </c>
      <c r="V276" s="178">
        <f>IF(OR(ISBLANK($R276),ISBLANK(T276)),"NA",$R276*T276)</f>
        <v>0.23307301881247647</v>
      </c>
      <c r="W276" s="178"/>
      <c r="X276" s="178"/>
    </row>
    <row r="277" spans="1:24" ht="12.6" x14ac:dyDescent="0.45">
      <c r="A277" s="13"/>
      <c r="B277" s="11" t="s">
        <v>110</v>
      </c>
      <c r="C277" s="12">
        <v>2021</v>
      </c>
      <c r="D277" s="23">
        <f>SUM(E277:H277)</f>
        <v>6853573</v>
      </c>
      <c r="E277" s="24">
        <v>6458244</v>
      </c>
      <c r="F277" s="24">
        <v>265422</v>
      </c>
      <c r="G277" s="24">
        <v>132158</v>
      </c>
      <c r="H277" s="24">
        <v>-2251</v>
      </c>
      <c r="I277" s="14"/>
      <c r="J277" s="14"/>
      <c r="K277" s="14"/>
      <c r="L277" s="14"/>
      <c r="M277" s="14"/>
      <c r="N277" s="13"/>
      <c r="O277" s="13"/>
      <c r="P277" s="13"/>
      <c r="Q277" s="13" t="str">
        <f t="shared" ref="Q277:Q278" si="173">$A$267&amp;C277&amp;"ASSETS"</f>
        <v>AVA2021ASSETS</v>
      </c>
      <c r="R277" s="48">
        <f>(E277+F277)/D277</f>
        <v>0.98104536130278319</v>
      </c>
      <c r="S277" s="131">
        <v>0.76496624166146809</v>
      </c>
      <c r="T277" s="131">
        <v>0.23503375833853193</v>
      </c>
      <c r="U277" s="178">
        <f t="shared" ref="U277:V278" si="174">IF(OR(ISBLANK($R277),ISBLANK(S277)),"NA",$R277*S277)</f>
        <v>0.75046658293520707</v>
      </c>
      <c r="V277" s="178">
        <f t="shared" si="174"/>
        <v>0.23057877836757609</v>
      </c>
      <c r="W277" s="178"/>
      <c r="X277" s="178"/>
    </row>
    <row r="278" spans="1:24" ht="12.6" x14ac:dyDescent="0.45">
      <c r="A278" s="13"/>
      <c r="B278" s="13"/>
      <c r="C278" s="12">
        <v>2020</v>
      </c>
      <c r="D278" s="23">
        <f>SUM(E278:H278)</f>
        <v>6402097</v>
      </c>
      <c r="E278" s="24">
        <v>6035340</v>
      </c>
      <c r="F278" s="24">
        <v>268971</v>
      </c>
      <c r="G278" s="24">
        <v>109658</v>
      </c>
      <c r="H278" s="24">
        <v>-11872</v>
      </c>
      <c r="I278" s="14"/>
      <c r="J278" s="14"/>
      <c r="K278" s="14"/>
      <c r="L278" s="14"/>
      <c r="M278" s="14"/>
      <c r="N278" s="13"/>
      <c r="O278" s="13"/>
      <c r="P278" s="13"/>
      <c r="Q278" s="13" t="str">
        <f t="shared" si="173"/>
        <v>AVA2020ASSETS</v>
      </c>
      <c r="R278" s="48">
        <f>(E278+F278)/D278</f>
        <v>0.98472594214052056</v>
      </c>
      <c r="S278" s="131">
        <v>0.76557918771228572</v>
      </c>
      <c r="T278" s="131">
        <v>0.23442081228771428</v>
      </c>
      <c r="U278" s="178">
        <f t="shared" si="174"/>
        <v>0.75388568690315505</v>
      </c>
      <c r="V278" s="178">
        <f t="shared" si="174"/>
        <v>0.23084025523736557</v>
      </c>
      <c r="W278" s="178"/>
      <c r="X278" s="178"/>
    </row>
    <row r="279" spans="1:24" x14ac:dyDescent="0.4">
      <c r="B279" s="137"/>
      <c r="D279" s="184"/>
      <c r="R279" s="133"/>
      <c r="U279" s="181"/>
    </row>
    <row r="280" spans="1:24" x14ac:dyDescent="0.4">
      <c r="D280" s="184"/>
    </row>
    <row r="281" spans="1:24" x14ac:dyDescent="0.4">
      <c r="D281" s="184"/>
    </row>
    <row r="282" spans="1:24" x14ac:dyDescent="0.4">
      <c r="A282" s="10" t="s">
        <v>30</v>
      </c>
      <c r="B282" s="11"/>
      <c r="C282" s="12"/>
      <c r="D282" s="13"/>
      <c r="E282" s="32"/>
      <c r="F282" s="37"/>
      <c r="G282" s="37"/>
      <c r="H282" s="37"/>
      <c r="I282" s="37"/>
      <c r="J282" s="37"/>
      <c r="K282" s="37"/>
      <c r="L282" s="14"/>
      <c r="M282" s="14"/>
      <c r="N282" s="13"/>
      <c r="O282" s="13"/>
      <c r="P282" s="13"/>
      <c r="Q282" s="13"/>
      <c r="R282" s="13"/>
      <c r="S282" s="13"/>
      <c r="T282" s="13"/>
      <c r="U282" s="13"/>
      <c r="V282" s="13"/>
      <c r="W282" s="13"/>
      <c r="X282" s="13"/>
    </row>
    <row r="283" spans="1:24" x14ac:dyDescent="0.4">
      <c r="A283" s="13" t="s">
        <v>445</v>
      </c>
      <c r="B283" s="11"/>
      <c r="C283" s="12"/>
      <c r="D283" s="13"/>
      <c r="E283" s="32"/>
      <c r="F283" s="37"/>
      <c r="G283" s="37"/>
      <c r="H283" s="37"/>
      <c r="I283" s="37"/>
      <c r="J283" s="37"/>
      <c r="K283" s="37"/>
      <c r="L283" s="14"/>
      <c r="M283" s="14"/>
      <c r="N283" s="13"/>
      <c r="O283" s="13"/>
      <c r="P283" s="13"/>
      <c r="Q283" s="13"/>
      <c r="R283" s="13"/>
      <c r="S283" s="13"/>
      <c r="T283" s="13"/>
      <c r="U283" s="13"/>
      <c r="V283" s="13"/>
      <c r="W283" s="13"/>
      <c r="X283" s="13"/>
    </row>
    <row r="284" spans="1:24" ht="36.9" x14ac:dyDescent="0.4">
      <c r="A284" s="10" t="s">
        <v>31</v>
      </c>
      <c r="B284" s="11"/>
      <c r="C284" s="12"/>
      <c r="D284" s="12" t="s">
        <v>96</v>
      </c>
      <c r="E284" s="35" t="s">
        <v>446</v>
      </c>
      <c r="F284" s="33" t="s">
        <v>447</v>
      </c>
      <c r="G284" s="33" t="s">
        <v>136</v>
      </c>
      <c r="H284" s="33" t="s">
        <v>137</v>
      </c>
      <c r="I284" s="33" t="s">
        <v>138</v>
      </c>
      <c r="J284" s="33" t="s">
        <v>139</v>
      </c>
      <c r="K284" s="33" t="s">
        <v>140</v>
      </c>
      <c r="L284" s="55"/>
      <c r="M284" s="14"/>
      <c r="N284" s="13"/>
      <c r="O284" s="13"/>
      <c r="P284" s="13"/>
      <c r="Q284" s="20"/>
      <c r="R284" s="21" t="s">
        <v>102</v>
      </c>
      <c r="S284" s="21" t="s">
        <v>103</v>
      </c>
      <c r="T284" s="21" t="s">
        <v>104</v>
      </c>
      <c r="U284" s="21" t="s">
        <v>105</v>
      </c>
      <c r="V284" s="21" t="s">
        <v>106</v>
      </c>
      <c r="W284" s="22"/>
      <c r="X284" s="22"/>
    </row>
    <row r="285" spans="1:24" x14ac:dyDescent="0.4">
      <c r="A285" s="13"/>
      <c r="B285" s="11"/>
      <c r="C285" s="12">
        <v>2022</v>
      </c>
      <c r="D285" s="18">
        <f>SUM(E285:K285)</f>
        <v>2551816</v>
      </c>
      <c r="E285" s="56">
        <v>900162</v>
      </c>
      <c r="F285" s="56">
        <v>1669090</v>
      </c>
      <c r="G285" s="56"/>
      <c r="H285" s="56"/>
      <c r="I285" s="56">
        <v>368739</v>
      </c>
      <c r="J285" s="56">
        <v>-386175</v>
      </c>
      <c r="K285" s="57">
        <v>0</v>
      </c>
      <c r="L285" s="55"/>
      <c r="M285" s="14"/>
      <c r="N285" s="13"/>
      <c r="O285" s="13"/>
      <c r="P285" s="13"/>
      <c r="Q285" s="13" t="str">
        <f>$A$284&amp;C285&amp;"REV"</f>
        <v>BKH2022REV</v>
      </c>
      <c r="R285" s="48">
        <f>IF(SUM(E285:F285)/D285&gt;100%, 100%, SUM(E285:F285)/D285)</f>
        <v>1</v>
      </c>
      <c r="S285" s="48">
        <f>E285/SUM(E285:F285)</f>
        <v>0.35035955990303791</v>
      </c>
      <c r="T285" s="48">
        <f>F285/SUM(E285:F285)</f>
        <v>0.64964044009696209</v>
      </c>
      <c r="U285" s="25">
        <f>IF(OR(ISBLANK($R285),ISBLANK(S285)),"NA",$R285*S285)</f>
        <v>0.35035955990303791</v>
      </c>
      <c r="V285" s="25">
        <f>IF(OR(ISBLANK($R285),ISBLANK(T285)),"NA",$R285*T285)</f>
        <v>0.64964044009696209</v>
      </c>
      <c r="W285" s="25"/>
      <c r="X285" s="25"/>
    </row>
    <row r="286" spans="1:24" x14ac:dyDescent="0.4">
      <c r="A286" s="10"/>
      <c r="B286" s="11" t="s">
        <v>107</v>
      </c>
      <c r="C286" s="12">
        <v>2021</v>
      </c>
      <c r="D286" s="18">
        <f t="shared" ref="D286:D294" si="175">SUM(E286:K286)</f>
        <v>1949102</v>
      </c>
      <c r="E286" s="56">
        <v>842258</v>
      </c>
      <c r="F286" s="56">
        <v>1124865</v>
      </c>
      <c r="G286" s="56"/>
      <c r="H286" s="56"/>
      <c r="I286" s="56">
        <v>356347</v>
      </c>
      <c r="J286" s="56">
        <v>-374368</v>
      </c>
      <c r="K286" s="57">
        <v>0</v>
      </c>
      <c r="L286" s="14"/>
      <c r="M286" s="14"/>
      <c r="N286" s="13"/>
      <c r="O286" s="13"/>
      <c r="P286" s="13"/>
      <c r="Q286" s="13" t="str">
        <f t="shared" ref="Q286:Q287" si="176">$A$284&amp;C286&amp;"REV"</f>
        <v>BKH2021REV</v>
      </c>
      <c r="R286" s="48">
        <f>IF(SUM(E286:F286)/D286&gt;100%, 100%, SUM(E286:F286)/D286)</f>
        <v>1</v>
      </c>
      <c r="S286" s="48">
        <f>E286/SUM(E286:F286)</f>
        <v>0.42816743030303644</v>
      </c>
      <c r="T286" s="48">
        <f>F286/SUM(E286:F286)</f>
        <v>0.5718325696969635</v>
      </c>
      <c r="U286" s="25">
        <f>IF(OR(ISBLANK($R286),ISBLANK(S286)),"NA",$R286*S286)</f>
        <v>0.42816743030303644</v>
      </c>
      <c r="V286" s="25">
        <f>IF(OR(ISBLANK($R286),ISBLANK(T286)),"NA",$R286*T286)</f>
        <v>0.5718325696969635</v>
      </c>
      <c r="W286" s="25"/>
      <c r="X286" s="25"/>
    </row>
    <row r="287" spans="1:24" x14ac:dyDescent="0.4">
      <c r="A287" s="13"/>
      <c r="B287" s="11"/>
      <c r="C287" s="12">
        <v>2020</v>
      </c>
      <c r="D287" s="18">
        <f t="shared" si="175"/>
        <v>1696941</v>
      </c>
      <c r="E287" s="44">
        <v>714044</v>
      </c>
      <c r="F287" s="44">
        <v>974670</v>
      </c>
      <c r="G287" s="44">
        <v>105047</v>
      </c>
      <c r="H287" s="44">
        <v>61075</v>
      </c>
      <c r="I287" s="44">
        <v>353143</v>
      </c>
      <c r="J287" s="44">
        <v>-511038</v>
      </c>
      <c r="K287" s="57">
        <v>0</v>
      </c>
      <c r="L287" s="14"/>
      <c r="M287" s="14"/>
      <c r="N287" s="13"/>
      <c r="O287" s="13"/>
      <c r="P287" s="13"/>
      <c r="Q287" s="13" t="str">
        <f t="shared" si="176"/>
        <v>BKH2020REV</v>
      </c>
      <c r="R287" s="48">
        <f>IF(SUM(E287:F287)/D287&gt;100%, 100%, SUM(E287:F287)/D287)</f>
        <v>0.99515186444313619</v>
      </c>
      <c r="S287" s="48">
        <f>E287/SUM(E287:F287)</f>
        <v>0.42283299599576957</v>
      </c>
      <c r="T287" s="48">
        <f>F287/SUM(E287:F287)</f>
        <v>0.57716700400423049</v>
      </c>
      <c r="U287" s="25">
        <f t="shared" ref="U287:V287" si="177">IF(OR(ISBLANK($R287),ISBLANK(S287)),"NA",$R287*S287)</f>
        <v>0.42078304431326724</v>
      </c>
      <c r="V287" s="25">
        <f t="shared" si="177"/>
        <v>0.57436882012986901</v>
      </c>
      <c r="W287" s="25"/>
      <c r="X287" s="25"/>
    </row>
    <row r="288" spans="1:24" x14ac:dyDescent="0.4">
      <c r="A288" s="13"/>
      <c r="B288" s="11"/>
      <c r="D288" s="18"/>
      <c r="K288" s="58"/>
      <c r="L288" s="19"/>
      <c r="M288" s="14"/>
      <c r="N288" s="13"/>
      <c r="O288" s="13"/>
      <c r="P288" s="13"/>
      <c r="Q288" s="13"/>
      <c r="R288" s="13"/>
      <c r="S288" s="13"/>
      <c r="T288" s="13"/>
      <c r="U288" s="13"/>
      <c r="V288" s="13"/>
      <c r="W288" s="13"/>
      <c r="X288" s="13"/>
    </row>
    <row r="289" spans="1:24" x14ac:dyDescent="0.4">
      <c r="A289" s="13"/>
      <c r="B289" s="11"/>
      <c r="C289" s="12">
        <v>2022</v>
      </c>
      <c r="D289" s="18">
        <f t="shared" si="175"/>
        <v>455244</v>
      </c>
      <c r="E289" s="18">
        <v>214258</v>
      </c>
      <c r="F289" s="18">
        <v>244160</v>
      </c>
      <c r="I289" s="18">
        <v>32013</v>
      </c>
      <c r="J289" s="18">
        <v>-35187</v>
      </c>
      <c r="K289" s="57">
        <v>0</v>
      </c>
      <c r="L289" s="19"/>
      <c r="M289" s="14"/>
      <c r="N289" s="13"/>
      <c r="O289" s="13"/>
      <c r="P289" s="13"/>
      <c r="Q289" s="13" t="str">
        <f>$A$284&amp;C289&amp;"INC"</f>
        <v>BKH2022INC</v>
      </c>
      <c r="R289" s="48">
        <f>IF(SUM(E289:F289)/(SUM(E289:H289,J289:K289))&gt;100%, 100%, SUM(E289:F289)/(SUM(E289:H289,J289:K289)))</f>
        <v>1</v>
      </c>
      <c r="S289" s="48">
        <f>E289/SUM(E289:F289)</f>
        <v>0.4673856611215092</v>
      </c>
      <c r="T289" s="48">
        <f>F289/SUM(E289:F289)</f>
        <v>0.53261433887849086</v>
      </c>
      <c r="U289" s="25">
        <f>IF(OR(ISBLANK($R289),ISBLANK(S289)),"NA",$R289*S289)</f>
        <v>0.4673856611215092</v>
      </c>
      <c r="V289" s="25">
        <f>IF(OR(ISBLANK($R289),ISBLANK(T289)),"NA",$R289*T289)</f>
        <v>0.53261433887849086</v>
      </c>
      <c r="W289" s="25"/>
      <c r="X289" s="25"/>
    </row>
    <row r="290" spans="1:24" x14ac:dyDescent="0.4">
      <c r="A290" s="13"/>
      <c r="B290" s="11" t="s">
        <v>109</v>
      </c>
      <c r="C290" s="12">
        <v>2021</v>
      </c>
      <c r="D290" s="18">
        <f t="shared" si="175"/>
        <v>409429</v>
      </c>
      <c r="E290" s="18">
        <v>202676</v>
      </c>
      <c r="F290" s="18">
        <v>211157</v>
      </c>
      <c r="I290" s="18">
        <v>36148</v>
      </c>
      <c r="J290" s="18">
        <v>-40552</v>
      </c>
      <c r="K290" s="57">
        <v>0</v>
      </c>
      <c r="L290" s="59"/>
      <c r="M290" s="59"/>
      <c r="N290" s="59"/>
      <c r="O290" s="13"/>
      <c r="P290" s="13"/>
      <c r="Q290" s="13" t="str">
        <f t="shared" ref="Q290:Q291" si="178">$A$284&amp;C290&amp;"INC"</f>
        <v>BKH2021INC</v>
      </c>
      <c r="R290" s="48">
        <f>IF(SUM(E290:F290)/(SUM(E290:H290,J290:K290))&gt;100%, 100%, SUM(E290:F290)/(SUM(E290:H290,J290:K290)))</f>
        <v>1</v>
      </c>
      <c r="S290" s="48">
        <f>E290/SUM(E290:F290)</f>
        <v>0.48975311297069107</v>
      </c>
      <c r="T290" s="48">
        <f>F290/SUM(E290:F290)</f>
        <v>0.51024688702930887</v>
      </c>
      <c r="U290" s="25">
        <f>IF(OR(ISBLANK($R290),ISBLANK(S290)),"NA",$R290*S290)</f>
        <v>0.48975311297069107</v>
      </c>
      <c r="V290" s="25">
        <f>IF(OR(ISBLANK($R290),ISBLANK(T290)),"NA",$R290*T290)</f>
        <v>0.51024688702930887</v>
      </c>
      <c r="W290" s="25"/>
      <c r="X290" s="25"/>
    </row>
    <row r="291" spans="1:24" x14ac:dyDescent="0.4">
      <c r="A291" s="13"/>
      <c r="B291" s="11"/>
      <c r="C291" s="12">
        <v>2020</v>
      </c>
      <c r="D291" s="18">
        <f t="shared" si="175"/>
        <v>428303</v>
      </c>
      <c r="E291" s="18">
        <v>156055</v>
      </c>
      <c r="F291" s="18">
        <v>215889</v>
      </c>
      <c r="G291" s="18">
        <v>42112</v>
      </c>
      <c r="H291" s="18">
        <v>12807</v>
      </c>
      <c r="I291" s="18">
        <v>43409</v>
      </c>
      <c r="J291" s="18">
        <v>-41969</v>
      </c>
      <c r="K291" s="57">
        <v>0</v>
      </c>
      <c r="L291" s="59"/>
      <c r="M291" s="59"/>
      <c r="N291" s="59"/>
      <c r="O291" s="13"/>
      <c r="P291" s="13"/>
      <c r="Q291" s="13" t="str">
        <f t="shared" si="178"/>
        <v>BKH2020INC</v>
      </c>
      <c r="R291" s="48">
        <f>IF(SUM(E291:F291)/(SUM(E291:H291,J291:K291))&gt;100%, 100%, SUM(E291:F291)/(SUM(E291:H291,J291:K291)))</f>
        <v>0.96635437289227688</v>
      </c>
      <c r="S291" s="48">
        <f>E291/SUM(E291:F291)</f>
        <v>0.41956584862237328</v>
      </c>
      <c r="T291" s="48">
        <f>F291/SUM(E291:F291)</f>
        <v>0.58043415137762677</v>
      </c>
      <c r="U291" s="25">
        <f t="shared" ref="U291:V291" si="179">IF(OR(ISBLANK($R291),ISBLANK(S291)),"NA",$R291*S291)</f>
        <v>0.40544929253248951</v>
      </c>
      <c r="V291" s="25">
        <f t="shared" si="179"/>
        <v>0.56090508035978748</v>
      </c>
      <c r="W291" s="25"/>
      <c r="X291" s="25"/>
    </row>
    <row r="292" spans="1:24" x14ac:dyDescent="0.4">
      <c r="A292" s="13"/>
      <c r="B292" s="11"/>
      <c r="D292" s="18"/>
      <c r="K292" s="58"/>
      <c r="L292" s="19"/>
      <c r="M292" s="14"/>
      <c r="N292" s="13"/>
      <c r="O292" s="13"/>
      <c r="P292" s="13"/>
      <c r="Q292" s="13"/>
      <c r="R292" s="13"/>
      <c r="S292" s="13"/>
      <c r="T292" s="13"/>
      <c r="U292" s="13"/>
      <c r="V292" s="13"/>
      <c r="W292" s="13"/>
      <c r="X292" s="13"/>
    </row>
    <row r="293" spans="1:24" x14ac:dyDescent="0.4">
      <c r="A293" s="13"/>
      <c r="B293" s="11"/>
      <c r="C293" s="12">
        <v>2022</v>
      </c>
      <c r="D293" s="18">
        <f t="shared" si="175"/>
        <v>9618230</v>
      </c>
      <c r="E293" s="18">
        <v>3929721</v>
      </c>
      <c r="F293" s="18">
        <v>5578282</v>
      </c>
      <c r="I293" s="18">
        <v>110227</v>
      </c>
      <c r="J293" s="18">
        <v>0</v>
      </c>
      <c r="K293" s="57">
        <v>0</v>
      </c>
      <c r="L293" s="19"/>
      <c r="M293" s="14"/>
      <c r="N293" s="13"/>
      <c r="O293" s="13"/>
      <c r="P293" s="13"/>
      <c r="Q293" s="13" t="str">
        <f>$A$284&amp;C293&amp;"ASSETS"</f>
        <v>BKH2022ASSETS</v>
      </c>
      <c r="R293" s="48">
        <f>IF(SUM(E293:F293)/D293&gt;100%, 100%, SUM(E293:F293)/D293)</f>
        <v>0.98853978330732373</v>
      </c>
      <c r="S293" s="48">
        <f>E293/SUM(E293:F293)</f>
        <v>0.41330666387042581</v>
      </c>
      <c r="T293" s="48">
        <f>F293/SUM(E293:F293)</f>
        <v>0.58669333612957419</v>
      </c>
      <c r="U293" s="25">
        <f>IF(OR(ISBLANK($R293),ISBLANK(S293)),"NA",$R293*S293)</f>
        <v>0.40857007994194361</v>
      </c>
      <c r="V293" s="25">
        <f>IF(OR(ISBLANK($R293),ISBLANK(T293)),"NA",$R293*T293)</f>
        <v>0.57996970336538012</v>
      </c>
      <c r="W293" s="25"/>
      <c r="X293" s="25"/>
    </row>
    <row r="294" spans="1:24" ht="14.4" x14ac:dyDescent="0.55000000000000004">
      <c r="A294" s="13"/>
      <c r="B294" s="11" t="s">
        <v>110</v>
      </c>
      <c r="C294" s="12">
        <v>2021</v>
      </c>
      <c r="D294" s="18">
        <f t="shared" si="175"/>
        <v>9131896</v>
      </c>
      <c r="E294" s="18">
        <v>3796662</v>
      </c>
      <c r="F294" s="18">
        <v>5246370</v>
      </c>
      <c r="H294" s="147"/>
      <c r="I294" s="147">
        <v>88864</v>
      </c>
      <c r="J294" s="147">
        <v>0</v>
      </c>
      <c r="K294" s="57">
        <v>0</v>
      </c>
      <c r="L294" s="19"/>
      <c r="M294" s="14"/>
      <c r="N294" s="13"/>
      <c r="O294" s="13"/>
      <c r="P294" s="13"/>
      <c r="Q294" s="13" t="str">
        <f t="shared" ref="Q294:Q295" si="180">$A$284&amp;C294&amp;"ASSETS"</f>
        <v>BKH2021ASSETS</v>
      </c>
      <c r="R294" s="48">
        <f>IF(SUM(E294:F294)/D294&gt;100%, 100%, SUM(E294:F294)/D294)</f>
        <v>0.99026883354781969</v>
      </c>
      <c r="S294" s="48">
        <f>E294/SUM(E294:F294)</f>
        <v>0.41984391960572515</v>
      </c>
      <c r="T294" s="48">
        <f>F294/SUM(E294:F294)</f>
        <v>0.5801560803942748</v>
      </c>
      <c r="U294" s="25">
        <f>IF(OR(ISBLANK($R294),ISBLANK(S294)),"NA",$R294*S294)</f>
        <v>0.41575834854010602</v>
      </c>
      <c r="V294" s="25">
        <f>IF(OR(ISBLANK($R294),ISBLANK(T294)),"NA",$R294*T294)</f>
        <v>0.57451048500771362</v>
      </c>
      <c r="W294" s="25"/>
      <c r="X294" s="25"/>
    </row>
    <row r="295" spans="1:24" x14ac:dyDescent="0.4">
      <c r="A295" s="13"/>
      <c r="B295" s="13"/>
      <c r="C295" s="12">
        <v>2020</v>
      </c>
      <c r="D295" s="18">
        <f>SUM(E295:K295)</f>
        <v>8088786</v>
      </c>
      <c r="E295" s="18">
        <v>3120928</v>
      </c>
      <c r="F295" s="18">
        <v>4376204</v>
      </c>
      <c r="G295" s="18">
        <v>404220</v>
      </c>
      <c r="H295" s="30">
        <v>77085</v>
      </c>
      <c r="I295" s="30">
        <v>110349</v>
      </c>
      <c r="J295" s="30">
        <v>0</v>
      </c>
      <c r="K295" s="57">
        <v>0</v>
      </c>
      <c r="L295" s="19"/>
      <c r="M295" s="14"/>
      <c r="N295" s="13"/>
      <c r="O295" s="13"/>
      <c r="P295" s="13"/>
      <c r="Q295" s="13" t="str">
        <f t="shared" si="180"/>
        <v>BKH2020ASSETS</v>
      </c>
      <c r="R295" s="48">
        <f>IF(SUM(E295:F295)/D295&gt;100%, 100%, SUM(E295:F295)/D295)</f>
        <v>0.92685503115053358</v>
      </c>
      <c r="S295" s="48">
        <f t="shared" ref="S295" si="181">E295/SUM(E295:F295)</f>
        <v>0.41628291992191147</v>
      </c>
      <c r="T295" s="48">
        <f t="shared" ref="T295" si="182">F295/SUM(E295:F295)</f>
        <v>0.58371708007808853</v>
      </c>
      <c r="U295" s="25">
        <f t="shared" ref="U295:V295" si="183">IF(OR(ISBLANK($R295),ISBLANK(S295)),"NA",$R295*S295)</f>
        <v>0.38583391871165834</v>
      </c>
      <c r="V295" s="25">
        <f t="shared" si="183"/>
        <v>0.5410211124388753</v>
      </c>
      <c r="W295" s="25"/>
      <c r="X295" s="25"/>
    </row>
    <row r="296" spans="1:24" x14ac:dyDescent="0.4">
      <c r="B296" s="137"/>
      <c r="D296" s="184"/>
      <c r="H296" s="30"/>
      <c r="I296" s="30"/>
      <c r="J296" s="30"/>
    </row>
    <row r="297" spans="1:24" x14ac:dyDescent="0.4">
      <c r="D297" s="184"/>
      <c r="H297" s="30"/>
      <c r="I297" s="30"/>
      <c r="J297" s="30"/>
    </row>
    <row r="298" spans="1:24" x14ac:dyDescent="0.4">
      <c r="D298" s="184"/>
      <c r="H298" s="30"/>
      <c r="I298" s="30"/>
      <c r="J298" s="30"/>
    </row>
    <row r="299" spans="1:24" x14ac:dyDescent="0.4">
      <c r="A299" s="10" t="s">
        <v>32</v>
      </c>
      <c r="B299" s="11"/>
      <c r="C299" s="12"/>
      <c r="D299" s="13"/>
      <c r="E299" s="37"/>
      <c r="F299" s="37"/>
      <c r="G299" s="37"/>
      <c r="H299" s="37"/>
      <c r="I299" s="37"/>
      <c r="J299" s="37"/>
      <c r="K299" s="14"/>
      <c r="L299" s="14"/>
      <c r="M299" s="14"/>
      <c r="N299" s="13"/>
      <c r="O299" s="13"/>
      <c r="P299" s="13"/>
      <c r="Q299" s="13"/>
      <c r="R299" s="13"/>
      <c r="S299" s="13"/>
      <c r="T299" s="13"/>
      <c r="U299" s="13"/>
      <c r="V299" s="13"/>
      <c r="W299" s="13"/>
      <c r="X299" s="13"/>
    </row>
    <row r="300" spans="1:24" x14ac:dyDescent="0.4">
      <c r="A300" s="60" t="s">
        <v>448</v>
      </c>
      <c r="B300" s="11"/>
      <c r="C300" s="12"/>
      <c r="D300" s="13"/>
      <c r="E300" s="37"/>
      <c r="F300" s="37"/>
      <c r="G300" s="37"/>
      <c r="H300" s="37"/>
      <c r="I300" s="37"/>
      <c r="J300" s="37"/>
      <c r="K300" s="14"/>
      <c r="L300" s="14"/>
      <c r="M300" s="14"/>
      <c r="N300" s="13"/>
      <c r="O300" s="13"/>
      <c r="P300" s="13"/>
      <c r="Q300" s="13"/>
      <c r="R300" s="13"/>
      <c r="S300" s="13"/>
      <c r="T300" s="13"/>
      <c r="U300" s="13"/>
      <c r="V300" s="13"/>
      <c r="W300" s="13"/>
      <c r="X300" s="13"/>
    </row>
    <row r="301" spans="1:24" s="191" customFormat="1" ht="36.9" x14ac:dyDescent="0.4">
      <c r="A301" s="96" t="s">
        <v>33</v>
      </c>
      <c r="B301" s="189"/>
      <c r="C301" s="22"/>
      <c r="D301" s="22" t="s">
        <v>96</v>
      </c>
      <c r="E301" s="26" t="s">
        <v>141</v>
      </c>
      <c r="F301" s="26" t="s">
        <v>142</v>
      </c>
      <c r="G301" s="26" t="s">
        <v>143</v>
      </c>
      <c r="H301" s="26" t="s">
        <v>144</v>
      </c>
      <c r="I301" s="26"/>
      <c r="J301" s="26"/>
      <c r="K301" s="26"/>
      <c r="L301" s="26"/>
      <c r="M301" s="55"/>
      <c r="N301" s="42"/>
      <c r="O301" s="42"/>
      <c r="P301" s="42"/>
      <c r="Q301" s="190"/>
      <c r="R301" s="21" t="s">
        <v>102</v>
      </c>
      <c r="S301" s="21" t="s">
        <v>103</v>
      </c>
      <c r="T301" s="21" t="s">
        <v>104</v>
      </c>
      <c r="U301" s="21" t="s">
        <v>105</v>
      </c>
      <c r="V301" s="21" t="s">
        <v>106</v>
      </c>
      <c r="W301" s="22"/>
      <c r="X301" s="22"/>
    </row>
    <row r="302" spans="1:24" x14ac:dyDescent="0.4">
      <c r="A302" s="13"/>
      <c r="B302" s="11"/>
      <c r="C302" s="12">
        <v>2022</v>
      </c>
      <c r="D302" s="184">
        <f>SUM(E302:H302)</f>
        <v>9054</v>
      </c>
      <c r="E302" s="26">
        <v>4108</v>
      </c>
      <c r="F302" s="26">
        <v>4946</v>
      </c>
      <c r="G302" s="26">
        <v>0</v>
      </c>
      <c r="H302" s="26">
        <v>0</v>
      </c>
      <c r="I302" s="26"/>
      <c r="K302" s="26"/>
      <c r="L302" s="14"/>
      <c r="M302" s="14"/>
      <c r="N302" s="13"/>
      <c r="O302" s="13"/>
      <c r="P302" s="13"/>
      <c r="Q302" s="13" t="str">
        <f>$A$301&amp;C302&amp;"REV"</f>
        <v>CNP2022REV</v>
      </c>
      <c r="R302" s="127">
        <f>SUM(E302:F302)/D302</f>
        <v>1</v>
      </c>
      <c r="S302" s="47">
        <f>SUM(E302)/SUM(E302:F302)</f>
        <v>0.45372211177380162</v>
      </c>
      <c r="T302" s="47">
        <f>F302/SUM(E302:F302)</f>
        <v>0.54627788822619838</v>
      </c>
      <c r="U302" s="25">
        <f t="shared" ref="U302:V304" si="184">IF(OR(ISBLANK($R302),ISBLANK(S302)),"NA",$R302*S302)</f>
        <v>0.45372211177380162</v>
      </c>
      <c r="V302" s="25">
        <f t="shared" si="184"/>
        <v>0.54627788822619838</v>
      </c>
      <c r="W302" s="25"/>
      <c r="X302" s="25"/>
    </row>
    <row r="303" spans="1:24" ht="14.4" x14ac:dyDescent="0.55000000000000004">
      <c r="A303" s="10"/>
      <c r="B303" s="11" t="s">
        <v>107</v>
      </c>
      <c r="C303" s="12">
        <v>2021</v>
      </c>
      <c r="D303" s="184">
        <f>SUM(E303:H303)</f>
        <v>8099</v>
      </c>
      <c r="E303" s="150">
        <v>3763</v>
      </c>
      <c r="F303" s="150">
        <v>4336</v>
      </c>
      <c r="G303" s="26">
        <v>0</v>
      </c>
      <c r="H303" s="26">
        <v>0</v>
      </c>
      <c r="I303" s="150"/>
      <c r="J303" s="147"/>
      <c r="K303" s="150"/>
      <c r="L303" s="14"/>
      <c r="M303" s="38"/>
      <c r="N303" s="13"/>
      <c r="O303" s="13"/>
      <c r="P303" s="13"/>
      <c r="Q303" s="13" t="str">
        <f>$A$301&amp;C303&amp;"REV"</f>
        <v>CNP2021REV</v>
      </c>
      <c r="R303" s="127">
        <f t="shared" ref="R303:R304" si="185">SUM(E303:F303)/D303</f>
        <v>1</v>
      </c>
      <c r="S303" s="47">
        <f t="shared" ref="S303:S304" si="186">SUM(E303)/SUM(E303:F303)</f>
        <v>0.46462526237807139</v>
      </c>
      <c r="T303" s="47">
        <f t="shared" ref="T303:T304" si="187">F303/SUM(E303:F303)</f>
        <v>0.53537473762192866</v>
      </c>
      <c r="U303" s="25">
        <f t="shared" si="184"/>
        <v>0.46462526237807139</v>
      </c>
      <c r="V303" s="25">
        <f t="shared" si="184"/>
        <v>0.53537473762192866</v>
      </c>
      <c r="W303" s="25"/>
      <c r="X303" s="25"/>
    </row>
    <row r="304" spans="1:24" ht="14.4" x14ac:dyDescent="0.55000000000000004">
      <c r="A304" s="13"/>
      <c r="B304" s="11"/>
      <c r="C304" s="192">
        <v>2020</v>
      </c>
      <c r="D304" s="184">
        <f>SUM(E304:H304)</f>
        <v>7101</v>
      </c>
      <c r="E304" s="143">
        <v>3470</v>
      </c>
      <c r="F304" s="143">
        <v>3631</v>
      </c>
      <c r="G304" s="26">
        <v>0</v>
      </c>
      <c r="H304" s="26">
        <v>0</v>
      </c>
      <c r="I304" s="143"/>
      <c r="J304" s="147"/>
      <c r="K304" s="193"/>
      <c r="L304" s="14"/>
      <c r="M304" s="38"/>
      <c r="N304" s="13"/>
      <c r="O304" s="13"/>
      <c r="P304" s="13"/>
      <c r="Q304" s="13" t="str">
        <f>$A$301&amp;C304&amp;"REV"</f>
        <v>CNP2020REV</v>
      </c>
      <c r="R304" s="127">
        <f t="shared" si="185"/>
        <v>1</v>
      </c>
      <c r="S304" s="47">
        <f t="shared" si="186"/>
        <v>0.48866356851147724</v>
      </c>
      <c r="T304" s="47">
        <f t="shared" si="187"/>
        <v>0.5113364314885227</v>
      </c>
      <c r="U304" s="25">
        <f t="shared" si="184"/>
        <v>0.48866356851147724</v>
      </c>
      <c r="V304" s="25">
        <f t="shared" si="184"/>
        <v>0.5113364314885227</v>
      </c>
      <c r="W304" s="25"/>
      <c r="X304" s="25"/>
    </row>
    <row r="305" spans="1:24" x14ac:dyDescent="0.4">
      <c r="A305" s="13"/>
      <c r="B305" s="11"/>
      <c r="D305" s="13"/>
      <c r="E305" s="24"/>
      <c r="F305" s="24"/>
      <c r="G305" s="24"/>
      <c r="H305" s="40"/>
      <c r="I305" s="24"/>
      <c r="K305" s="40"/>
      <c r="L305" s="14"/>
      <c r="M305" s="38"/>
      <c r="N305" s="13"/>
      <c r="O305" s="13"/>
      <c r="P305" s="13"/>
      <c r="Q305" s="13"/>
      <c r="R305" s="127"/>
      <c r="S305" s="127"/>
      <c r="T305" s="127"/>
      <c r="U305" s="25"/>
      <c r="V305" s="25"/>
      <c r="W305" s="13"/>
      <c r="X305" s="13"/>
    </row>
    <row r="306" spans="1:24" x14ac:dyDescent="0.4">
      <c r="A306" s="13"/>
      <c r="B306" s="11"/>
      <c r="C306" s="12">
        <v>2022</v>
      </c>
      <c r="D306" s="184">
        <f>SUM(E306:H306)</f>
        <v>1585</v>
      </c>
      <c r="E306" s="24">
        <v>954</v>
      </c>
      <c r="F306" s="24">
        <v>631</v>
      </c>
      <c r="G306" s="26">
        <v>0</v>
      </c>
      <c r="H306" s="26">
        <v>0</v>
      </c>
      <c r="I306" s="24"/>
      <c r="K306" s="40"/>
      <c r="L306" s="14"/>
      <c r="M306" s="38"/>
      <c r="N306" s="13"/>
      <c r="O306" s="13"/>
      <c r="P306" s="13"/>
      <c r="Q306" s="13" t="str">
        <f>$A$301&amp;C306&amp;"INC"</f>
        <v>CNP2022INC</v>
      </c>
      <c r="R306" s="127">
        <f>SUM(E306:F306)/D306</f>
        <v>1</v>
      </c>
      <c r="S306" s="47">
        <f>SUM(E306)/SUM(E306:F306)</f>
        <v>0.60189274447949526</v>
      </c>
      <c r="T306" s="47">
        <f>F306/SUM(E306:F306)</f>
        <v>0.39810725552050474</v>
      </c>
      <c r="U306" s="25">
        <f t="shared" ref="U306:V307" si="188">IF(OR(ISBLANK($R306),ISBLANK(S306)),"NA",$R306*S306)</f>
        <v>0.60189274447949526</v>
      </c>
      <c r="V306" s="25">
        <f t="shared" si="188"/>
        <v>0.39810725552050474</v>
      </c>
      <c r="W306" s="25"/>
      <c r="X306" s="25"/>
    </row>
    <row r="307" spans="1:24" ht="14.4" x14ac:dyDescent="0.55000000000000004">
      <c r="A307" s="13"/>
      <c r="B307" s="11" t="s">
        <v>109</v>
      </c>
      <c r="C307" s="12">
        <v>2021</v>
      </c>
      <c r="D307" s="184">
        <f t="shared" ref="D307:D308" si="189">SUM(E307:H307)</f>
        <v>1391</v>
      </c>
      <c r="E307" s="143">
        <v>773</v>
      </c>
      <c r="F307" s="143">
        <v>618</v>
      </c>
      <c r="G307" s="26">
        <v>0</v>
      </c>
      <c r="H307" s="26">
        <v>0</v>
      </c>
      <c r="I307" s="143"/>
      <c r="J307" s="147"/>
      <c r="K307" s="193"/>
      <c r="L307" s="14"/>
      <c r="M307" s="38"/>
      <c r="N307" s="13"/>
      <c r="O307" s="13"/>
      <c r="P307" s="13"/>
      <c r="Q307" s="13" t="str">
        <f>$A$301&amp;C307&amp;"INC"</f>
        <v>CNP2021INC</v>
      </c>
      <c r="R307" s="127">
        <f t="shared" ref="R307:R308" si="190">SUM(E307:F307)/D307</f>
        <v>1</v>
      </c>
      <c r="S307" s="47">
        <f t="shared" ref="S307:S308" si="191">SUM(E307)/SUM(E307:F307)</f>
        <v>0.55571531272465857</v>
      </c>
      <c r="T307" s="47">
        <f t="shared" ref="T307:T308" si="192">F307/SUM(E307:F307)</f>
        <v>0.44428468727534148</v>
      </c>
      <c r="U307" s="25">
        <f t="shared" si="188"/>
        <v>0.55571531272465857</v>
      </c>
      <c r="V307" s="25">
        <f t="shared" si="188"/>
        <v>0.44428468727534148</v>
      </c>
      <c r="W307" s="25"/>
      <c r="X307" s="25"/>
    </row>
    <row r="308" spans="1:24" ht="14.4" x14ac:dyDescent="0.55000000000000004">
      <c r="A308" s="13"/>
      <c r="B308" s="11"/>
      <c r="C308" s="192">
        <v>2020</v>
      </c>
      <c r="D308" s="184">
        <f t="shared" si="189"/>
        <v>1053</v>
      </c>
      <c r="E308" s="143">
        <v>503</v>
      </c>
      <c r="F308" s="143">
        <v>550</v>
      </c>
      <c r="G308" s="26">
        <v>0</v>
      </c>
      <c r="H308" s="26">
        <v>0</v>
      </c>
      <c r="I308" s="143"/>
      <c r="J308" s="147"/>
      <c r="K308" s="193"/>
      <c r="L308" s="14"/>
      <c r="M308" s="38"/>
      <c r="N308" s="13"/>
      <c r="O308" s="13"/>
      <c r="P308" s="13"/>
      <c r="Q308" s="13" t="str">
        <f>$A$301&amp;C308&amp;"INC"</f>
        <v>CNP2020INC</v>
      </c>
      <c r="R308" s="127">
        <f t="shared" si="190"/>
        <v>1</v>
      </c>
      <c r="S308" s="47">
        <f t="shared" si="191"/>
        <v>0.47768281101614435</v>
      </c>
      <c r="T308" s="47">
        <f t="shared" si="192"/>
        <v>0.5223171889838556</v>
      </c>
      <c r="U308" s="128">
        <f>IF(OR(ISBLANK($R308),ISBLANK(S308)),"NA",$R308*S308)</f>
        <v>0.47768281101614435</v>
      </c>
      <c r="V308" s="128">
        <f>IF(OR(ISBLANK($R308),ISBLANK(T308)),"NA",$R308*T308)</f>
        <v>0.5223171889838556</v>
      </c>
      <c r="W308" s="25"/>
      <c r="X308" s="25"/>
    </row>
    <row r="309" spans="1:24" x14ac:dyDescent="0.4">
      <c r="A309" s="13"/>
      <c r="B309" s="11"/>
      <c r="D309" s="46"/>
      <c r="E309" s="24"/>
      <c r="F309" s="24"/>
      <c r="G309" s="24"/>
      <c r="H309" s="24"/>
      <c r="I309" s="24"/>
      <c r="J309" s="40"/>
      <c r="K309" s="14"/>
      <c r="L309" s="19"/>
      <c r="M309" s="38"/>
      <c r="N309" s="13"/>
      <c r="O309" s="13"/>
      <c r="P309" s="13"/>
      <c r="Q309" s="13"/>
      <c r="R309" s="13"/>
      <c r="S309" s="13"/>
      <c r="T309" s="13"/>
      <c r="U309" s="13"/>
      <c r="V309" s="13"/>
      <c r="W309" s="13"/>
      <c r="X309" s="13"/>
    </row>
    <row r="310" spans="1:24" ht="14.4" x14ac:dyDescent="0.55000000000000004">
      <c r="A310" s="13"/>
      <c r="B310" s="11"/>
      <c r="C310" s="12">
        <v>2022</v>
      </c>
      <c r="D310" s="184">
        <f>SUM(E310:H310)</f>
        <v>38546</v>
      </c>
      <c r="E310" s="24">
        <v>19024</v>
      </c>
      <c r="F310" s="143">
        <v>18043</v>
      </c>
      <c r="G310" s="24">
        <v>1479</v>
      </c>
      <c r="H310" s="24">
        <v>0</v>
      </c>
      <c r="I310" s="24"/>
      <c r="J310" s="40"/>
      <c r="K310" s="14"/>
      <c r="L310" s="19"/>
      <c r="M310" s="38"/>
      <c r="N310" s="13"/>
      <c r="O310" s="13"/>
      <c r="P310" s="13"/>
      <c r="Q310" s="13" t="str">
        <f>$A$301&amp;C310&amp;"ASSETS"</f>
        <v>CNP2022ASSETS</v>
      </c>
      <c r="R310" s="127">
        <f>SUM(E310:F310)/D310</f>
        <v>0.96163025994915163</v>
      </c>
      <c r="S310" s="47">
        <f>SUM(E310)/SUM(E310:F310)</f>
        <v>0.51323279466911265</v>
      </c>
      <c r="T310" s="47">
        <f>F310/SUM(E310:F310)</f>
        <v>0.4867672053308873</v>
      </c>
      <c r="U310" s="25">
        <f t="shared" ref="U310:V311" si="193">IF(OR(ISBLANK($R310),ISBLANK(S310)),"NA",$R310*S310)</f>
        <v>0.49354018575208836</v>
      </c>
      <c r="V310" s="25">
        <f t="shared" si="193"/>
        <v>0.46809007419706322</v>
      </c>
      <c r="W310" s="25"/>
      <c r="X310" s="25"/>
    </row>
    <row r="311" spans="1:24" ht="14.4" x14ac:dyDescent="0.55000000000000004">
      <c r="A311" s="13"/>
      <c r="B311" s="11" t="s">
        <v>110</v>
      </c>
      <c r="C311" s="12">
        <v>2021</v>
      </c>
      <c r="D311" s="184">
        <f>SUM(E311:H311)</f>
        <v>37679</v>
      </c>
      <c r="E311" s="143">
        <v>16548</v>
      </c>
      <c r="F311" s="143">
        <v>16270</v>
      </c>
      <c r="G311" s="143">
        <v>2523</v>
      </c>
      <c r="H311" s="143">
        <v>2338</v>
      </c>
      <c r="I311" s="143"/>
      <c r="J311" s="193"/>
      <c r="K311" s="14"/>
      <c r="L311" s="148"/>
      <c r="M311" s="38"/>
      <c r="N311" s="13"/>
      <c r="O311" s="13"/>
      <c r="P311" s="13"/>
      <c r="Q311" s="13" t="str">
        <f>$A$301&amp;C311&amp;"ASSETS"</f>
        <v>CNP2021ASSETS</v>
      </c>
      <c r="R311" s="127">
        <f t="shared" ref="R311:R312" si="194">SUM(E311:F311)/D311</f>
        <v>0.87098914514716419</v>
      </c>
      <c r="S311" s="47">
        <f t="shared" ref="S311:S312" si="195">SUM(E311)/SUM(E311:F311)</f>
        <v>0.50423548052897804</v>
      </c>
      <c r="T311" s="47">
        <f t="shared" ref="T311:T312" si="196">F311/SUM(E311:F311)</f>
        <v>0.49576451947102201</v>
      </c>
      <c r="U311" s="25">
        <f t="shared" si="193"/>
        <v>0.43918363013880413</v>
      </c>
      <c r="V311" s="25">
        <f t="shared" si="193"/>
        <v>0.43180551500836012</v>
      </c>
      <c r="W311" s="25"/>
      <c r="X311" s="25"/>
    </row>
    <row r="312" spans="1:24" ht="14.4" x14ac:dyDescent="0.55000000000000004">
      <c r="A312" s="13"/>
      <c r="B312" s="11"/>
      <c r="C312" s="192">
        <v>2020</v>
      </c>
      <c r="D312" s="184">
        <f t="shared" ref="D312" si="197">SUM(E312:H312)</f>
        <v>33471</v>
      </c>
      <c r="E312" s="143">
        <v>14516</v>
      </c>
      <c r="F312" s="143">
        <v>15041</v>
      </c>
      <c r="G312" s="143">
        <v>3132</v>
      </c>
      <c r="H312" s="193">
        <v>782</v>
      </c>
      <c r="I312" s="143"/>
      <c r="J312" s="147"/>
      <c r="K312" s="193"/>
      <c r="L312" s="14"/>
      <c r="M312" s="38"/>
      <c r="N312" s="13"/>
      <c r="O312" s="13"/>
      <c r="P312" s="13"/>
      <c r="Q312" s="13" t="str">
        <f>$A$301&amp;C312&amp;"ASSETS"</f>
        <v>CNP2020ASSETS</v>
      </c>
      <c r="R312" s="127">
        <f t="shared" si="194"/>
        <v>0.88306295001643209</v>
      </c>
      <c r="S312" s="47">
        <f t="shared" si="195"/>
        <v>0.49111885509354808</v>
      </c>
      <c r="T312" s="47">
        <f t="shared" si="196"/>
        <v>0.50888114490645198</v>
      </c>
      <c r="U312" s="128">
        <f>IF(OR(ISBLANK($R312),ISBLANK(S312)),"NA",$R312*S312)</f>
        <v>0.43368886498760117</v>
      </c>
      <c r="V312" s="128">
        <f>IF(OR(ISBLANK($R312),ISBLANK(T312)),"NA",$R312*T312)</f>
        <v>0.44937408502883092</v>
      </c>
      <c r="W312" s="25"/>
      <c r="X312" s="25"/>
    </row>
    <row r="313" spans="1:24" x14ac:dyDescent="0.4">
      <c r="D313" s="184"/>
    </row>
    <row r="314" spans="1:24" x14ac:dyDescent="0.4">
      <c r="D314" s="184"/>
    </row>
    <row r="315" spans="1:24" x14ac:dyDescent="0.4">
      <c r="D315" s="184"/>
    </row>
    <row r="316" spans="1:24" x14ac:dyDescent="0.4">
      <c r="A316" s="10" t="s">
        <v>34</v>
      </c>
      <c r="B316" s="11"/>
      <c r="C316" s="12"/>
      <c r="D316" s="13"/>
      <c r="E316" s="24"/>
      <c r="F316" s="24"/>
      <c r="G316" s="24"/>
      <c r="H316" s="24"/>
      <c r="I316" s="14"/>
      <c r="J316" s="14"/>
      <c r="K316" s="14"/>
      <c r="L316" s="14"/>
      <c r="M316" s="14"/>
      <c r="N316" s="13"/>
      <c r="O316" s="13"/>
      <c r="P316" s="13"/>
      <c r="Q316" s="13"/>
      <c r="R316" s="13"/>
      <c r="S316" s="13"/>
      <c r="T316" s="13"/>
      <c r="U316" s="13"/>
      <c r="V316" s="13"/>
      <c r="W316" s="13"/>
      <c r="X316" s="13"/>
    </row>
    <row r="317" spans="1:24" x14ac:dyDescent="0.4">
      <c r="A317" s="13" t="s">
        <v>449</v>
      </c>
      <c r="B317" s="11"/>
      <c r="C317" s="12"/>
      <c r="D317" s="13"/>
      <c r="E317" s="24"/>
      <c r="F317" s="24"/>
      <c r="G317" s="24"/>
      <c r="H317" s="24"/>
      <c r="I317" s="14"/>
      <c r="J317" s="14"/>
      <c r="K317" s="14"/>
      <c r="L317" s="14"/>
      <c r="M317" s="14"/>
      <c r="N317" s="13"/>
      <c r="O317" s="13"/>
      <c r="P317" s="13"/>
      <c r="Q317" s="13"/>
      <c r="R317" s="13"/>
      <c r="S317" s="13"/>
      <c r="T317" s="13"/>
      <c r="U317" s="13"/>
      <c r="V317" s="13"/>
      <c r="W317" s="13"/>
      <c r="X317" s="13"/>
    </row>
    <row r="318" spans="1:24" ht="36.9" x14ac:dyDescent="0.4">
      <c r="A318" s="10" t="s">
        <v>35</v>
      </c>
      <c r="B318" s="11"/>
      <c r="C318" s="12"/>
      <c r="D318" s="22" t="s">
        <v>96</v>
      </c>
      <c r="E318" s="26" t="s">
        <v>134</v>
      </c>
      <c r="F318" s="26" t="s">
        <v>135</v>
      </c>
      <c r="G318" s="26" t="s">
        <v>145</v>
      </c>
      <c r="H318" s="41" t="s">
        <v>146</v>
      </c>
      <c r="J318" s="14"/>
      <c r="K318" s="14"/>
      <c r="L318" s="14"/>
      <c r="M318" s="14"/>
      <c r="N318" s="13"/>
      <c r="O318" s="13"/>
      <c r="P318" s="13"/>
      <c r="Q318" s="20"/>
      <c r="R318" s="21" t="s">
        <v>102</v>
      </c>
      <c r="S318" s="21" t="s">
        <v>103</v>
      </c>
      <c r="T318" s="21" t="s">
        <v>104</v>
      </c>
      <c r="U318" s="21" t="s">
        <v>105</v>
      </c>
      <c r="V318" s="21" t="s">
        <v>106</v>
      </c>
      <c r="W318" s="22"/>
      <c r="X318" s="22"/>
    </row>
    <row r="319" spans="1:24" x14ac:dyDescent="0.4">
      <c r="A319" s="10"/>
      <c r="B319" s="11"/>
      <c r="C319" s="12">
        <v>2022</v>
      </c>
      <c r="D319" s="23">
        <f>SUM(E319:H319)</f>
        <v>8596</v>
      </c>
      <c r="E319" s="24">
        <v>5419</v>
      </c>
      <c r="F319" s="24">
        <v>2732</v>
      </c>
      <c r="G319" s="24">
        <v>445</v>
      </c>
      <c r="H319" s="14">
        <v>0</v>
      </c>
      <c r="J319" s="14"/>
      <c r="K319" s="14"/>
      <c r="L319" s="14"/>
      <c r="M319" s="14"/>
      <c r="N319" s="13"/>
      <c r="O319" s="13"/>
      <c r="P319" s="13"/>
      <c r="Q319" s="13" t="str">
        <f>$A$318&amp;C319&amp;"REV"</f>
        <v>CMS2022REV</v>
      </c>
      <c r="R319" s="47">
        <f>SUM(E319:F319)/D319</f>
        <v>0.94823173569101904</v>
      </c>
      <c r="S319" s="47">
        <f>E319/SUM(E319:F319)</f>
        <v>0.66482640166850693</v>
      </c>
      <c r="T319" s="47">
        <f>F319/SUM(E319:F319)</f>
        <v>0.33517359833149307</v>
      </c>
      <c r="U319" s="25">
        <f>IF(OR(ISBLANK($R319),ISBLANK(S319)),"NA",$R319*S319)</f>
        <v>0.63040949278734293</v>
      </c>
      <c r="V319" s="25">
        <f>IF(OR(ISBLANK($R319),ISBLANK(T319)),"NA",$R319*T319)</f>
        <v>0.31782224290367611</v>
      </c>
      <c r="W319" s="25"/>
      <c r="X319" s="25"/>
    </row>
    <row r="320" spans="1:24" x14ac:dyDescent="0.4">
      <c r="A320" s="10"/>
      <c r="B320" s="11" t="s">
        <v>107</v>
      </c>
      <c r="C320" s="12">
        <v>2021</v>
      </c>
      <c r="D320" s="23">
        <f>SUM(E320:H320)</f>
        <v>7329</v>
      </c>
      <c r="E320" s="24">
        <v>4958</v>
      </c>
      <c r="F320" s="24">
        <v>2063</v>
      </c>
      <c r="G320" s="24">
        <v>308</v>
      </c>
      <c r="H320" s="14">
        <v>0</v>
      </c>
      <c r="J320" s="14"/>
      <c r="K320" s="14"/>
      <c r="L320" s="14"/>
      <c r="M320" s="14"/>
      <c r="N320" s="13"/>
      <c r="O320" s="13"/>
      <c r="P320" s="13"/>
      <c r="Q320" s="13" t="str">
        <f t="shared" ref="Q320:Q321" si="198">$A$318&amp;C320&amp;"REV"</f>
        <v>CMS2021REV</v>
      </c>
      <c r="R320" s="47">
        <f>SUM(E320:F320)/D320</f>
        <v>0.9579751671442216</v>
      </c>
      <c r="S320" s="47">
        <f>E320/SUM(E320:F320)</f>
        <v>0.70616721264777094</v>
      </c>
      <c r="T320" s="47">
        <f>F320/SUM(E320:F320)</f>
        <v>0.29383278735222901</v>
      </c>
      <c r="U320" s="25">
        <f>IF(OR(ISBLANK($R320),ISBLANK(S320)),"NA",$R320*S320)</f>
        <v>0.67649065356801741</v>
      </c>
      <c r="V320" s="25">
        <f>IF(OR(ISBLANK($R320),ISBLANK(T320)),"NA",$R320*T320)</f>
        <v>0.28148451357620413</v>
      </c>
      <c r="W320" s="25"/>
      <c r="X320" s="25"/>
    </row>
    <row r="321" spans="1:24" x14ac:dyDescent="0.4">
      <c r="A321" s="13"/>
      <c r="B321" s="11"/>
      <c r="C321" s="12">
        <v>2020</v>
      </c>
      <c r="D321" s="23">
        <f>SUM(E321:H321)</f>
        <v>6418</v>
      </c>
      <c r="E321" s="24">
        <v>4372</v>
      </c>
      <c r="F321" s="24">
        <v>1817</v>
      </c>
      <c r="G321" s="24">
        <v>229</v>
      </c>
      <c r="H321" s="14">
        <v>0</v>
      </c>
      <c r="J321" s="14"/>
      <c r="K321" s="14"/>
      <c r="L321" s="14"/>
      <c r="M321" s="14"/>
      <c r="N321" s="13"/>
      <c r="O321" s="13"/>
      <c r="P321" s="13"/>
      <c r="Q321" s="13" t="str">
        <f t="shared" si="198"/>
        <v>CMS2020REV</v>
      </c>
      <c r="R321" s="47">
        <f>SUM(E321:F321)/D321</f>
        <v>0.96431910252415087</v>
      </c>
      <c r="S321" s="47">
        <f>E321/SUM(E321:F321)</f>
        <v>0.70641460656002586</v>
      </c>
      <c r="T321" s="47">
        <f>F321/SUM(E321:F321)</f>
        <v>0.29358539343997414</v>
      </c>
      <c r="U321" s="25">
        <f t="shared" ref="U321:V321" si="199">IF(OR(ISBLANK($R321),ISBLANK(S321)),"NA",$R321*S321)</f>
        <v>0.6812090994079153</v>
      </c>
      <c r="V321" s="25">
        <f t="shared" si="199"/>
        <v>0.28311000311623558</v>
      </c>
      <c r="W321" s="178"/>
      <c r="X321" s="25"/>
    </row>
    <row r="322" spans="1:24" x14ac:dyDescent="0.4">
      <c r="A322" s="13"/>
      <c r="B322" s="11"/>
      <c r="D322" s="13"/>
      <c r="E322" s="24"/>
      <c r="F322" s="24"/>
      <c r="G322" s="24"/>
      <c r="H322" s="14"/>
      <c r="J322" s="14"/>
      <c r="K322" s="14"/>
      <c r="L322" s="14"/>
      <c r="M322" s="14"/>
      <c r="N322" s="13"/>
      <c r="O322" s="13"/>
      <c r="P322" s="13"/>
      <c r="Q322" s="13"/>
      <c r="R322" s="13"/>
      <c r="S322" s="13"/>
      <c r="T322" s="13"/>
      <c r="U322" s="13"/>
      <c r="V322" s="13"/>
      <c r="X322" s="13"/>
    </row>
    <row r="323" spans="1:24" x14ac:dyDescent="0.4">
      <c r="A323" s="13"/>
      <c r="B323" s="11"/>
      <c r="C323" s="12">
        <v>2022</v>
      </c>
      <c r="D323" s="23">
        <f>SUM(E323:H323)</f>
        <v>1436</v>
      </c>
      <c r="E323" s="24">
        <v>894</v>
      </c>
      <c r="F323" s="24">
        <v>526</v>
      </c>
      <c r="G323" s="24">
        <v>37</v>
      </c>
      <c r="H323" s="38">
        <v>-21</v>
      </c>
      <c r="J323" s="14"/>
      <c r="K323" s="14"/>
      <c r="L323" s="14"/>
      <c r="M323" s="14"/>
      <c r="N323" s="13"/>
      <c r="O323" s="13"/>
      <c r="P323" s="13"/>
      <c r="Q323" s="13" t="str">
        <f>$A$318&amp;C323&amp;"INC"</f>
        <v>CMS2022INC</v>
      </c>
      <c r="R323" s="47">
        <f>SUM(E323:F323)/D323</f>
        <v>0.9888579387186629</v>
      </c>
      <c r="S323" s="47">
        <f>E323/SUM(E323:F323)</f>
        <v>0.62957746478873244</v>
      </c>
      <c r="T323" s="47">
        <f>F323/SUM(E323:F323)</f>
        <v>0.37042253521126761</v>
      </c>
      <c r="U323" s="25">
        <f>IF(OR(ISBLANK($R323),ISBLANK(S323)),"NA",$R323*S323)</f>
        <v>0.62256267409470756</v>
      </c>
      <c r="V323" s="25">
        <f>IF(OR(ISBLANK($R323),ISBLANK(T323)),"NA",$R323*T323)</f>
        <v>0.3662952646239554</v>
      </c>
      <c r="W323" s="178"/>
      <c r="X323" s="25"/>
    </row>
    <row r="324" spans="1:24" x14ac:dyDescent="0.4">
      <c r="A324" s="13"/>
      <c r="B324" s="11" t="s">
        <v>109</v>
      </c>
      <c r="C324" s="12">
        <v>2021</v>
      </c>
      <c r="D324" s="23">
        <f>SUM(E324:H324)</f>
        <v>1933</v>
      </c>
      <c r="E324" s="24">
        <v>889</v>
      </c>
      <c r="F324" s="24">
        <v>445</v>
      </c>
      <c r="G324" s="24">
        <v>17</v>
      </c>
      <c r="H324" s="14">
        <v>582</v>
      </c>
      <c r="J324" s="14"/>
      <c r="K324" s="14"/>
      <c r="L324" s="14"/>
      <c r="M324" s="14"/>
      <c r="N324" s="13"/>
      <c r="O324" s="13"/>
      <c r="P324" s="13"/>
      <c r="Q324" s="13" t="str">
        <f t="shared" ref="Q324:Q325" si="200">$A$318&amp;C324&amp;"INC"</f>
        <v>CMS2021INC</v>
      </c>
      <c r="R324" s="47">
        <f>SUM(E324:F324)/D324</f>
        <v>0.69011898603207444</v>
      </c>
      <c r="S324" s="47">
        <f>E324/SUM(E324:F324)</f>
        <v>0.66641679160419787</v>
      </c>
      <c r="T324" s="47">
        <f>F324/SUM(E324:F324)</f>
        <v>0.33358320839580208</v>
      </c>
      <c r="U324" s="25">
        <f>IF(OR(ISBLANK($R324),ISBLANK(S324)),"NA",$R324*S324)</f>
        <v>0.4599068804966373</v>
      </c>
      <c r="V324" s="25">
        <f>IF(OR(ISBLANK($R324),ISBLANK(T324)),"NA",$R324*T324)</f>
        <v>0.23021210553543711</v>
      </c>
      <c r="W324" s="178"/>
      <c r="X324" s="25"/>
    </row>
    <row r="325" spans="1:24" x14ac:dyDescent="0.4">
      <c r="A325" s="13"/>
      <c r="B325" s="11"/>
      <c r="C325" s="12">
        <v>2020</v>
      </c>
      <c r="D325" s="23">
        <f>SUM(E325:H325)</f>
        <v>1370</v>
      </c>
      <c r="E325" s="24">
        <v>886</v>
      </c>
      <c r="F325" s="24">
        <v>421</v>
      </c>
      <c r="G325" s="24">
        <v>34</v>
      </c>
      <c r="H325" s="14">
        <v>29</v>
      </c>
      <c r="J325" s="14"/>
      <c r="K325" s="14"/>
      <c r="L325" s="14"/>
      <c r="M325" s="14"/>
      <c r="N325" s="13"/>
      <c r="O325" s="13"/>
      <c r="P325" s="13"/>
      <c r="Q325" s="13" t="str">
        <f t="shared" si="200"/>
        <v>CMS2020INC</v>
      </c>
      <c r="R325" s="47">
        <f>SUM(E325:F325)/D325</f>
        <v>0.95401459854014603</v>
      </c>
      <c r="S325" s="47">
        <f>E325/SUM(E325:F325)</f>
        <v>0.6778882938026014</v>
      </c>
      <c r="T325" s="47">
        <f>F325/SUM(E325:F325)</f>
        <v>0.3221117061973986</v>
      </c>
      <c r="U325" s="25">
        <f t="shared" ref="U325:V325" si="201">IF(OR(ISBLANK($R325),ISBLANK(S325)),"NA",$R325*S325)</f>
        <v>0.64671532846715329</v>
      </c>
      <c r="V325" s="25">
        <f t="shared" si="201"/>
        <v>0.30729927007299268</v>
      </c>
      <c r="W325" s="178"/>
      <c r="X325" s="25"/>
    </row>
    <row r="326" spans="1:24" x14ac:dyDescent="0.4">
      <c r="A326" s="13"/>
      <c r="B326" s="11"/>
      <c r="D326" s="46"/>
      <c r="E326" s="29"/>
      <c r="F326" s="29"/>
      <c r="G326" s="29"/>
      <c r="H326" s="38"/>
      <c r="J326" s="14"/>
      <c r="K326" s="14"/>
      <c r="L326" s="14"/>
      <c r="M326" s="14"/>
      <c r="N326" s="13"/>
      <c r="O326" s="13"/>
      <c r="P326" s="13"/>
      <c r="Q326" s="13"/>
      <c r="R326" s="13"/>
      <c r="S326" s="13"/>
      <c r="T326" s="13"/>
      <c r="U326" s="13"/>
      <c r="V326" s="13"/>
      <c r="W326" s="13"/>
      <c r="X326" s="13"/>
    </row>
    <row r="327" spans="1:24" x14ac:dyDescent="0.4">
      <c r="A327" s="13"/>
      <c r="B327" s="11"/>
      <c r="C327" s="12">
        <v>2022</v>
      </c>
      <c r="D327" s="23">
        <f>SUM(E327:H327)</f>
        <v>35973</v>
      </c>
      <c r="E327" s="29">
        <v>17907</v>
      </c>
      <c r="F327" s="29">
        <v>16493</v>
      </c>
      <c r="G327" s="29">
        <v>1464</v>
      </c>
      <c r="H327" s="38">
        <v>109</v>
      </c>
      <c r="J327" s="14"/>
      <c r="K327" s="14"/>
      <c r="L327" s="14"/>
      <c r="M327" s="14"/>
      <c r="N327" s="13"/>
      <c r="O327" s="13"/>
      <c r="P327" s="13"/>
      <c r="Q327" s="13" t="str">
        <f>$A$318&amp;C327&amp;"ASSETS"</f>
        <v>CMS2022ASSETS</v>
      </c>
      <c r="R327" s="47">
        <f>SUM(E327:F327)/D327</f>
        <v>0.95627276012564977</v>
      </c>
      <c r="S327" s="47">
        <f>E327/SUM(E327:F327)</f>
        <v>0.5205523255813953</v>
      </c>
      <c r="T327" s="47">
        <f>F327/SUM(E327:F327)</f>
        <v>0.47944767441860464</v>
      </c>
      <c r="U327" s="25">
        <f>IF(OR(ISBLANK($R327),ISBLANK(S327)),"NA",$R327*S327)</f>
        <v>0.49779000917354677</v>
      </c>
      <c r="V327" s="25">
        <f>IF(OR(ISBLANK($R327),ISBLANK(T327)),"NA",$R327*T327)</f>
        <v>0.45848275095210295</v>
      </c>
      <c r="W327" s="25"/>
      <c r="X327" s="25"/>
    </row>
    <row r="328" spans="1:24" x14ac:dyDescent="0.4">
      <c r="A328" s="13"/>
      <c r="B328" s="11" t="s">
        <v>110</v>
      </c>
      <c r="C328" s="12">
        <v>2021</v>
      </c>
      <c r="D328" s="23">
        <f>SUM(E328:H328)</f>
        <v>28753</v>
      </c>
      <c r="E328" s="29">
        <v>16493</v>
      </c>
      <c r="F328" s="29">
        <v>10517</v>
      </c>
      <c r="G328" s="29">
        <v>1312</v>
      </c>
      <c r="H328" s="38">
        <v>431</v>
      </c>
      <c r="J328" s="14"/>
      <c r="K328" s="14"/>
      <c r="L328" s="14"/>
      <c r="M328" s="14"/>
      <c r="N328" s="13"/>
      <c r="O328" s="13"/>
      <c r="P328" s="13"/>
      <c r="Q328" s="13" t="str">
        <f t="shared" ref="Q328:Q329" si="202">$A$318&amp;C328&amp;"ASSETS"</f>
        <v>CMS2021ASSETS</v>
      </c>
      <c r="R328" s="47">
        <f>SUM(E328:F328)/D328</f>
        <v>0.93938023858379993</v>
      </c>
      <c r="S328" s="47">
        <f>E328/SUM(E328:F328)</f>
        <v>0.61062569418733803</v>
      </c>
      <c r="T328" s="47">
        <f>F328/SUM(E328:F328)</f>
        <v>0.38937430581266197</v>
      </c>
      <c r="U328" s="25">
        <f>IF(OR(ISBLANK($R328),ISBLANK(S328)),"NA",$R328*S328)</f>
        <v>0.57360971029110008</v>
      </c>
      <c r="V328" s="25">
        <f>IF(OR(ISBLANK($R328),ISBLANK(T328)),"NA",$R328*T328)</f>
        <v>0.3657705282926999</v>
      </c>
      <c r="W328" s="25"/>
      <c r="X328" s="25"/>
    </row>
    <row r="329" spans="1:24" ht="14.4" x14ac:dyDescent="0.55000000000000004">
      <c r="A329" s="13"/>
      <c r="B329" s="13"/>
      <c r="C329" s="12">
        <v>2020</v>
      </c>
      <c r="D329" s="23">
        <f>SUM(E329:H329)</f>
        <v>29666</v>
      </c>
      <c r="E329" s="143">
        <v>15829</v>
      </c>
      <c r="F329" s="143">
        <v>9429</v>
      </c>
      <c r="G329" s="143">
        <v>1276</v>
      </c>
      <c r="H329" s="14">
        <v>3132</v>
      </c>
      <c r="J329" s="14"/>
      <c r="K329" s="14"/>
      <c r="L329" s="14"/>
      <c r="M329" s="14"/>
      <c r="N329" s="13"/>
      <c r="O329" s="13"/>
      <c r="P329" s="13"/>
      <c r="Q329" s="13" t="str">
        <f t="shared" si="202"/>
        <v>CMS2020ASSETS</v>
      </c>
      <c r="R329" s="47">
        <f>SUM(E329:F329)/D329</f>
        <v>0.85141239128969193</v>
      </c>
      <c r="S329" s="47">
        <f>E329/SUM(E329:F329)</f>
        <v>0.62669253305883288</v>
      </c>
      <c r="T329" s="47">
        <f>F329/SUM(E329:F329)</f>
        <v>0.37330746694116718</v>
      </c>
      <c r="U329" s="25">
        <f t="shared" ref="U329:V329" si="203">IF(OR(ISBLANK($R329),ISBLANK(S329)),"NA",$R329*S329)</f>
        <v>0.53357378817501522</v>
      </c>
      <c r="V329" s="25">
        <f t="shared" si="203"/>
        <v>0.31783860311467677</v>
      </c>
      <c r="W329" s="25"/>
      <c r="X329" s="25"/>
    </row>
    <row r="330" spans="1:24" x14ac:dyDescent="0.4">
      <c r="D330" s="184"/>
    </row>
    <row r="331" spans="1:24" x14ac:dyDescent="0.4">
      <c r="D331" s="184"/>
    </row>
    <row r="332" spans="1:24" x14ac:dyDescent="0.4">
      <c r="D332" s="184"/>
    </row>
    <row r="334" spans="1:24" x14ac:dyDescent="0.4">
      <c r="A334" s="10" t="s">
        <v>36</v>
      </c>
      <c r="B334" s="11"/>
      <c r="C334" s="12"/>
      <c r="D334" s="13"/>
      <c r="E334" s="24"/>
      <c r="F334" s="24"/>
      <c r="G334" s="24"/>
      <c r="H334" s="24"/>
      <c r="I334" s="24"/>
      <c r="J334" s="24"/>
      <c r="K334" s="24"/>
      <c r="L334" s="24"/>
      <c r="M334" s="24"/>
      <c r="N334" s="13"/>
      <c r="O334" s="13"/>
      <c r="P334" s="13"/>
      <c r="Q334" s="13"/>
      <c r="R334" s="13"/>
      <c r="S334" s="13"/>
      <c r="T334" s="13"/>
      <c r="U334" s="13"/>
      <c r="V334" s="13"/>
      <c r="W334" s="13"/>
      <c r="X334" s="13"/>
    </row>
    <row r="335" spans="1:24" x14ac:dyDescent="0.4">
      <c r="A335" s="13" t="s">
        <v>450</v>
      </c>
      <c r="B335" s="11"/>
      <c r="C335" s="12"/>
      <c r="D335" s="13"/>
      <c r="E335" s="13"/>
      <c r="F335" s="13"/>
      <c r="G335" s="13"/>
      <c r="H335" s="13"/>
      <c r="I335" s="13"/>
      <c r="J335" s="24"/>
      <c r="K335" s="24"/>
      <c r="L335" s="24"/>
      <c r="M335" s="24"/>
      <c r="N335" s="13"/>
      <c r="O335" s="13"/>
      <c r="P335" s="13"/>
      <c r="Q335" s="13"/>
      <c r="R335" s="13"/>
      <c r="S335" s="13"/>
      <c r="T335" s="13"/>
      <c r="U335" s="13"/>
      <c r="V335" s="13"/>
      <c r="W335" s="13"/>
      <c r="X335" s="13"/>
    </row>
    <row r="336" spans="1:24" x14ac:dyDescent="0.4">
      <c r="A336" s="13"/>
      <c r="B336" s="11"/>
      <c r="C336" s="12"/>
      <c r="D336" s="13"/>
      <c r="E336" s="63" t="s">
        <v>147</v>
      </c>
      <c r="F336" s="64"/>
      <c r="G336" s="64"/>
      <c r="H336" s="65"/>
      <c r="I336" s="63" t="s">
        <v>148</v>
      </c>
      <c r="J336" s="64"/>
      <c r="K336" s="65"/>
      <c r="L336" s="24"/>
      <c r="M336" s="24"/>
      <c r="N336" s="13"/>
      <c r="O336" s="13"/>
      <c r="P336" s="13"/>
      <c r="Q336" s="13"/>
      <c r="R336" s="13"/>
      <c r="S336" s="13"/>
      <c r="T336" s="13"/>
      <c r="U336" s="13"/>
      <c r="V336" s="13"/>
      <c r="W336" s="13"/>
      <c r="X336" s="13"/>
    </row>
    <row r="337" spans="1:30" ht="36.9" x14ac:dyDescent="0.4">
      <c r="A337" s="10" t="s">
        <v>37</v>
      </c>
      <c r="B337" s="11"/>
      <c r="C337" s="12"/>
      <c r="D337" s="12" t="s">
        <v>96</v>
      </c>
      <c r="E337" s="26" t="s">
        <v>141</v>
      </c>
      <c r="F337" s="26" t="s">
        <v>149</v>
      </c>
      <c r="G337" s="26" t="s">
        <v>150</v>
      </c>
      <c r="H337" s="26" t="s">
        <v>151</v>
      </c>
      <c r="I337" s="26" t="s">
        <v>141</v>
      </c>
      <c r="J337" s="26" t="s">
        <v>149</v>
      </c>
      <c r="K337" s="26" t="s">
        <v>130</v>
      </c>
      <c r="L337" s="26" t="s">
        <v>152</v>
      </c>
      <c r="M337" s="26" t="s">
        <v>130</v>
      </c>
      <c r="N337" s="13"/>
      <c r="O337" s="13"/>
      <c r="P337" s="13"/>
      <c r="Q337" s="20"/>
      <c r="R337" s="21" t="s">
        <v>102</v>
      </c>
      <c r="S337" s="21" t="s">
        <v>103</v>
      </c>
      <c r="T337" s="21" t="s">
        <v>104</v>
      </c>
      <c r="U337" s="21" t="s">
        <v>105</v>
      </c>
      <c r="V337" s="21" t="s">
        <v>106</v>
      </c>
      <c r="W337" s="22"/>
      <c r="X337" s="22"/>
    </row>
    <row r="338" spans="1:30" x14ac:dyDescent="0.4">
      <c r="A338" s="10"/>
      <c r="B338" s="11"/>
      <c r="C338" s="12">
        <v>2022</v>
      </c>
      <c r="D338" s="23">
        <f>SUM(E338:M338)</f>
        <v>15670</v>
      </c>
      <c r="E338" s="51">
        <v>9751</v>
      </c>
      <c r="F338" s="51">
        <v>2924</v>
      </c>
      <c r="G338" s="51">
        <v>593</v>
      </c>
      <c r="H338" s="66">
        <v>0</v>
      </c>
      <c r="I338" s="51">
        <v>773</v>
      </c>
      <c r="J338" s="51">
        <v>312</v>
      </c>
      <c r="K338" s="26">
        <v>0</v>
      </c>
      <c r="L338" s="51">
        <v>1319</v>
      </c>
      <c r="M338" s="51">
        <v>-2</v>
      </c>
      <c r="N338" s="13"/>
      <c r="O338" s="13"/>
      <c r="P338" s="13"/>
      <c r="Q338" s="13" t="str">
        <f>$A$337&amp;C338&amp;"REV"</f>
        <v>ED2022REV</v>
      </c>
      <c r="R338" s="47">
        <f>SUM(E338:K338)/D338</f>
        <v>0.91595405232929161</v>
      </c>
      <c r="S338" s="47">
        <f>SUM(E338,I338)/SUM(E338:K338)</f>
        <v>0.73322650317006899</v>
      </c>
      <c r="T338" s="47">
        <f>SUM(F338,J338)/SUM(E338:K338)</f>
        <v>0.22545809238486728</v>
      </c>
      <c r="U338" s="25">
        <f>IF(OR(ISBLANK($R338),ISBLANK(S338)),"NA",$R338*S338)</f>
        <v>0.67160178685386085</v>
      </c>
      <c r="V338" s="25">
        <f>IF(OR(ISBLANK($R338),ISBLANK(T338)),"NA",$R338*T338)</f>
        <v>0.20650925335035097</v>
      </c>
      <c r="W338" s="25"/>
      <c r="X338" s="25"/>
    </row>
    <row r="339" spans="1:30" ht="14.4" x14ac:dyDescent="0.55000000000000004">
      <c r="A339" s="13"/>
      <c r="B339" s="11" t="s">
        <v>107</v>
      </c>
      <c r="C339" s="12">
        <v>2021</v>
      </c>
      <c r="D339" s="23">
        <f>SUM(E339:M339)</f>
        <v>13676</v>
      </c>
      <c r="E339" s="183">
        <v>8806</v>
      </c>
      <c r="F339" s="183">
        <v>2378</v>
      </c>
      <c r="G339" s="183">
        <v>532</v>
      </c>
      <c r="H339" s="194">
        <v>0</v>
      </c>
      <c r="I339" s="183">
        <v>681</v>
      </c>
      <c r="J339" s="183">
        <v>260</v>
      </c>
      <c r="K339" s="150">
        <v>0</v>
      </c>
      <c r="L339" s="183">
        <v>1022</v>
      </c>
      <c r="M339" s="183">
        <v>-3</v>
      </c>
      <c r="N339" s="13"/>
      <c r="O339" s="13"/>
      <c r="P339" s="13"/>
      <c r="Q339" s="13" t="str">
        <f t="shared" ref="Q339:Q340" si="204">$A$337&amp;C339&amp;"REV"</f>
        <v>ED2021REV</v>
      </c>
      <c r="R339" s="47">
        <f>SUM(E339:K339)/D339</f>
        <v>0.92548990933021347</v>
      </c>
      <c r="S339" s="47">
        <f>SUM(E339,I339)/SUM(E339:K339)</f>
        <v>0.74954570593347558</v>
      </c>
      <c r="T339" s="47">
        <f>SUM(F339,J339)/SUM(E339:K339)</f>
        <v>0.20842221695504465</v>
      </c>
      <c r="U339" s="25">
        <f>IF(OR(ISBLANK($R339),ISBLANK(S339)),"NA",$R339*S339)</f>
        <v>0.69369698742322317</v>
      </c>
      <c r="V339" s="25">
        <f>IF(OR(ISBLANK($R339),ISBLANK(T339)),"NA",$R339*T339)</f>
        <v>0.19289265867212635</v>
      </c>
      <c r="W339" s="25"/>
      <c r="X339" s="25"/>
    </row>
    <row r="340" spans="1:30" x14ac:dyDescent="0.4">
      <c r="A340" s="13"/>
      <c r="B340" s="11"/>
      <c r="C340" s="12">
        <v>2020</v>
      </c>
      <c r="D340" s="23">
        <f t="shared" ref="D340" si="205">SUM(E340:M340)</f>
        <v>12246</v>
      </c>
      <c r="E340" s="24">
        <v>8103</v>
      </c>
      <c r="F340" s="24">
        <v>2036</v>
      </c>
      <c r="G340" s="24">
        <v>508</v>
      </c>
      <c r="H340" s="67">
        <v>0</v>
      </c>
      <c r="I340" s="24">
        <v>629</v>
      </c>
      <c r="J340" s="24">
        <v>233</v>
      </c>
      <c r="K340" s="40">
        <v>0</v>
      </c>
      <c r="L340" s="24">
        <v>736</v>
      </c>
      <c r="M340" s="24">
        <v>1</v>
      </c>
      <c r="N340" s="13"/>
      <c r="O340" s="13"/>
      <c r="P340" s="13"/>
      <c r="Q340" s="13" t="str">
        <f t="shared" si="204"/>
        <v>ED2020REV</v>
      </c>
      <c r="R340" s="47">
        <f>SUM(E340:K340)/D340</f>
        <v>0.93981708312918499</v>
      </c>
      <c r="S340" s="47">
        <f>SUM(E340,I340)/SUM(E340:K340)</f>
        <v>0.75871057433313061</v>
      </c>
      <c r="T340" s="47">
        <f>SUM(F340,J340)/SUM(E340:K340)</f>
        <v>0.1971500564775393</v>
      </c>
      <c r="U340" s="25">
        <f t="shared" ref="U340:V340" si="206">IF(OR(ISBLANK($R340),ISBLANK(S340)),"NA",$R340*S340)</f>
        <v>0.71304915890903153</v>
      </c>
      <c r="V340" s="25">
        <f t="shared" si="206"/>
        <v>0.18528499101747506</v>
      </c>
      <c r="W340" s="25"/>
      <c r="X340" s="25"/>
    </row>
    <row r="341" spans="1:30" x14ac:dyDescent="0.4">
      <c r="A341" s="13"/>
      <c r="B341" s="11"/>
      <c r="D341" s="13"/>
      <c r="E341" s="24"/>
      <c r="F341" s="24"/>
      <c r="G341" s="24"/>
      <c r="H341" s="67"/>
      <c r="I341" s="24"/>
      <c r="J341" s="24"/>
      <c r="K341" s="40"/>
      <c r="L341" s="24"/>
      <c r="M341" s="24"/>
      <c r="N341" s="13"/>
      <c r="O341" s="13"/>
      <c r="P341" s="13"/>
      <c r="Q341" s="13"/>
      <c r="R341" s="13"/>
      <c r="S341" s="13"/>
      <c r="T341" s="13"/>
      <c r="U341" s="13"/>
      <c r="V341" s="13"/>
      <c r="W341" s="13"/>
      <c r="X341" s="13"/>
    </row>
    <row r="342" spans="1:30" x14ac:dyDescent="0.4">
      <c r="A342" s="13"/>
      <c r="B342" s="11"/>
      <c r="C342" s="12">
        <v>2022</v>
      </c>
      <c r="D342" s="23">
        <f t="shared" ref="D342:D344" si="207">SUM(E342:M342)</f>
        <v>2624</v>
      </c>
      <c r="E342" s="24">
        <v>1496</v>
      </c>
      <c r="F342" s="24">
        <v>660</v>
      </c>
      <c r="G342" s="24">
        <v>-21</v>
      </c>
      <c r="H342" s="67">
        <v>0</v>
      </c>
      <c r="I342" s="24">
        <v>94</v>
      </c>
      <c r="J342" s="24">
        <v>42</v>
      </c>
      <c r="K342" s="40">
        <v>0</v>
      </c>
      <c r="L342" s="24">
        <v>368</v>
      </c>
      <c r="M342" s="24">
        <v>-15</v>
      </c>
      <c r="N342" s="13"/>
      <c r="O342" s="13"/>
      <c r="P342" s="13"/>
      <c r="Q342" s="13" t="str">
        <f>$A$337&amp;C342&amp;"INC"</f>
        <v>ED2022INC</v>
      </c>
      <c r="R342" s="47">
        <f>SUM(E342:K342)/D342</f>
        <v>0.86547256097560976</v>
      </c>
      <c r="S342" s="47">
        <f>SUM(E342,I342)/SUM(E342:K342)</f>
        <v>0.70013210039630114</v>
      </c>
      <c r="T342" s="47">
        <f>SUM(F342,J342)/SUM(E342:K342)</f>
        <v>0.30911492734478202</v>
      </c>
      <c r="U342" s="25">
        <f>IF(OR(ISBLANK($R342),ISBLANK(S342)),"NA",$R342*S342)</f>
        <v>0.60594512195121952</v>
      </c>
      <c r="V342" s="25">
        <f>IF(OR(ISBLANK($R342),ISBLANK(T342)),"NA",$R342*T342)</f>
        <v>0.26753048780487804</v>
      </c>
      <c r="W342" s="25"/>
      <c r="X342" s="25"/>
    </row>
    <row r="343" spans="1:30" x14ac:dyDescent="0.4">
      <c r="A343" s="13"/>
      <c r="B343" s="11" t="s">
        <v>109</v>
      </c>
      <c r="C343" s="12">
        <v>2021</v>
      </c>
      <c r="D343" s="23">
        <f t="shared" si="207"/>
        <v>2826</v>
      </c>
      <c r="E343" s="24">
        <v>1802</v>
      </c>
      <c r="F343" s="24">
        <v>646</v>
      </c>
      <c r="G343" s="24">
        <v>12</v>
      </c>
      <c r="H343" s="67">
        <v>0</v>
      </c>
      <c r="I343" s="24">
        <v>100</v>
      </c>
      <c r="J343" s="24">
        <v>50</v>
      </c>
      <c r="K343" s="40">
        <v>0</v>
      </c>
      <c r="L343" s="24">
        <v>236</v>
      </c>
      <c r="M343" s="24">
        <v>-20</v>
      </c>
      <c r="N343" s="13"/>
      <c r="O343" s="13"/>
      <c r="P343" s="13"/>
      <c r="Q343" s="13" t="str">
        <f t="shared" ref="Q343:Q344" si="208">$A$337&amp;C343&amp;"INC"</f>
        <v>ED2021INC</v>
      </c>
      <c r="R343" s="47">
        <f>SUM(E343:K343)/D343</f>
        <v>0.92356687898089174</v>
      </c>
      <c r="S343" s="47">
        <f>SUM(E343,I343)/SUM(E343:K343)</f>
        <v>0.72873563218390802</v>
      </c>
      <c r="T343" s="47">
        <f>SUM(F343,J343)/SUM(E343:K343)</f>
        <v>0.26666666666666666</v>
      </c>
      <c r="U343" s="25">
        <f>IF(OR(ISBLANK($R343),ISBLANK(S343)),"NA",$R343*S343)</f>
        <v>0.67303609341825898</v>
      </c>
      <c r="V343" s="25">
        <f>IF(OR(ISBLANK($R343),ISBLANK(T343)),"NA",$R343*T343)</f>
        <v>0.24628450106157113</v>
      </c>
      <c r="W343" s="25"/>
      <c r="X343" s="25"/>
    </row>
    <row r="344" spans="1:30" x14ac:dyDescent="0.4">
      <c r="A344" s="13"/>
      <c r="B344" s="11"/>
      <c r="C344" s="12">
        <v>2020</v>
      </c>
      <c r="D344" s="23">
        <f t="shared" si="207"/>
        <v>2654</v>
      </c>
      <c r="E344" s="24">
        <v>1731</v>
      </c>
      <c r="F344" s="24">
        <v>574</v>
      </c>
      <c r="G344" s="24">
        <v>5</v>
      </c>
      <c r="H344" s="67">
        <v>0</v>
      </c>
      <c r="I344" s="24">
        <v>99</v>
      </c>
      <c r="J344" s="24">
        <v>48</v>
      </c>
      <c r="K344" s="40">
        <v>0</v>
      </c>
      <c r="L344" s="24">
        <v>215</v>
      </c>
      <c r="M344" s="24">
        <v>-18</v>
      </c>
      <c r="N344" s="13"/>
      <c r="O344" s="13"/>
      <c r="P344" s="13"/>
      <c r="Q344" s="13" t="str">
        <f t="shared" si="208"/>
        <v>ED2020INC</v>
      </c>
      <c r="R344" s="47">
        <f>SUM(E344:K344)/D344</f>
        <v>0.92577241899020346</v>
      </c>
      <c r="S344" s="47">
        <f>SUM(E344,I344)/SUM(E344:K344)</f>
        <v>0.74481074481074483</v>
      </c>
      <c r="T344" s="47">
        <f>SUM(F344,J344)/SUM(E344:K344)</f>
        <v>0.25315425315425316</v>
      </c>
      <c r="U344" s="25">
        <f t="shared" ref="U344:V344" si="209">IF(OR(ISBLANK($R344),ISBLANK(S344)),"NA",$R344*S344)</f>
        <v>0.68952524491333833</v>
      </c>
      <c r="V344" s="25">
        <f t="shared" si="209"/>
        <v>0.23436322532027129</v>
      </c>
      <c r="W344" s="25"/>
      <c r="X344" s="25"/>
    </row>
    <row r="345" spans="1:30" x14ac:dyDescent="0.4">
      <c r="A345" s="13"/>
      <c r="B345" s="11"/>
      <c r="D345" s="46"/>
      <c r="E345" s="24"/>
      <c r="F345" s="24"/>
      <c r="G345" s="24"/>
      <c r="H345" s="67"/>
      <c r="I345" s="24"/>
      <c r="J345" s="24"/>
      <c r="K345" s="40"/>
      <c r="L345" s="24"/>
      <c r="M345" s="24"/>
      <c r="N345" s="13"/>
      <c r="O345" s="13"/>
      <c r="P345" s="13"/>
      <c r="Q345" s="13"/>
      <c r="R345" s="13"/>
      <c r="S345" s="13"/>
      <c r="T345" s="13"/>
      <c r="U345" s="13"/>
      <c r="V345" s="13"/>
      <c r="W345" s="13"/>
      <c r="X345" s="13"/>
    </row>
    <row r="346" spans="1:30" x14ac:dyDescent="0.4">
      <c r="A346" s="13"/>
      <c r="B346" s="11"/>
      <c r="C346" s="12">
        <v>2022</v>
      </c>
      <c r="D346" s="23">
        <f t="shared" ref="D346:D348" si="210">SUM(E346:M346)</f>
        <v>69065</v>
      </c>
      <c r="E346" s="24">
        <v>39153</v>
      </c>
      <c r="F346" s="24">
        <v>15361</v>
      </c>
      <c r="G346" s="24">
        <v>2931</v>
      </c>
      <c r="H346" s="67">
        <v>0</v>
      </c>
      <c r="I346" s="24">
        <v>2247</v>
      </c>
      <c r="J346" s="24">
        <v>1264</v>
      </c>
      <c r="K346" s="40">
        <v>0</v>
      </c>
      <c r="L346" s="24">
        <v>7224</v>
      </c>
      <c r="M346" s="24">
        <v>885</v>
      </c>
      <c r="N346" s="13"/>
      <c r="O346" s="13"/>
      <c r="P346" s="13"/>
      <c r="Q346" s="13" t="str">
        <f>$A$337&amp;C346&amp;"ASSETS"</f>
        <v>ED2022ASSETS</v>
      </c>
      <c r="R346" s="47">
        <f>SUM(E346:K346)/D346</f>
        <v>0.88258886556142768</v>
      </c>
      <c r="S346" s="47">
        <f>SUM(E346,I346)/SUM(E346:K346)</f>
        <v>0.67917842378108795</v>
      </c>
      <c r="T346" s="47">
        <f>SUM(F346,J346)/SUM(E346:K346)</f>
        <v>0.2727377124483234</v>
      </c>
      <c r="U346" s="25">
        <f>IF(OR(ISBLANK($R346),ISBLANK(S346)),"NA",$R346*S346)</f>
        <v>0.59943531455874899</v>
      </c>
      <c r="V346" s="25">
        <f>IF(OR(ISBLANK($R346),ISBLANK(T346)),"NA",$R346*T346)</f>
        <v>0.24071526822558462</v>
      </c>
      <c r="W346" s="25"/>
      <c r="X346" s="25"/>
    </row>
    <row r="347" spans="1:30" x14ac:dyDescent="0.4">
      <c r="A347" s="13"/>
      <c r="B347" s="11" t="s">
        <v>110</v>
      </c>
      <c r="C347" s="12">
        <v>2021</v>
      </c>
      <c r="D347" s="23">
        <f t="shared" si="210"/>
        <v>63116</v>
      </c>
      <c r="E347" s="24">
        <v>36260</v>
      </c>
      <c r="F347" s="24">
        <v>13748</v>
      </c>
      <c r="G347" s="24">
        <v>2647</v>
      </c>
      <c r="H347" s="67">
        <v>0</v>
      </c>
      <c r="I347" s="24">
        <v>2123</v>
      </c>
      <c r="J347" s="24">
        <v>1169</v>
      </c>
      <c r="K347" s="40">
        <v>0</v>
      </c>
      <c r="L347" s="24">
        <v>6554</v>
      </c>
      <c r="M347" s="24">
        <v>615</v>
      </c>
      <c r="N347" s="13"/>
      <c r="O347" s="13"/>
      <c r="P347" s="13"/>
      <c r="Q347" s="13" t="str">
        <f t="shared" ref="Q347:Q348" si="211">$A$337&amp;C347&amp;"ASSETS"</f>
        <v>ED2021ASSETS</v>
      </c>
      <c r="R347" s="47">
        <f>SUM(E347:K347)/D347</f>
        <v>0.88641548894099753</v>
      </c>
      <c r="S347" s="47">
        <f>SUM(E347,I347)/SUM(E347:K347)</f>
        <v>0.68606002109139008</v>
      </c>
      <c r="T347" s="47">
        <f>SUM(F347,J347)/SUM(E347:K347)</f>
        <v>0.26662734373603592</v>
      </c>
      <c r="U347" s="25">
        <f>IF(OR(ISBLANK($R347),ISBLANK(S347)),"NA",$R347*S347)</f>
        <v>0.6081342290385956</v>
      </c>
      <c r="V347" s="25">
        <f>IF(OR(ISBLANK($R347),ISBLANK(T347)),"NA",$R347*T347)</f>
        <v>0.23634260726281769</v>
      </c>
      <c r="W347" s="25"/>
      <c r="X347" s="25"/>
    </row>
    <row r="348" spans="1:30" ht="14.4" x14ac:dyDescent="0.55000000000000004">
      <c r="A348" s="13"/>
      <c r="B348" s="13"/>
      <c r="C348" s="12">
        <v>2020</v>
      </c>
      <c r="D348" s="23">
        <f t="shared" si="210"/>
        <v>62895</v>
      </c>
      <c r="E348" s="24">
        <v>35673</v>
      </c>
      <c r="F348" s="24">
        <v>12678</v>
      </c>
      <c r="G348" s="24">
        <v>2616</v>
      </c>
      <c r="H348" s="147">
        <v>0</v>
      </c>
      <c r="I348" s="24">
        <v>2097</v>
      </c>
      <c r="J348" s="24">
        <v>1150</v>
      </c>
      <c r="K348" s="40">
        <v>0</v>
      </c>
      <c r="L348" s="24">
        <v>6848</v>
      </c>
      <c r="M348" s="24">
        <v>1833</v>
      </c>
      <c r="N348" s="13"/>
      <c r="O348" s="13"/>
      <c r="P348" s="13"/>
      <c r="Q348" s="13" t="str">
        <f t="shared" si="211"/>
        <v>ED2020ASSETS</v>
      </c>
      <c r="R348" s="47">
        <f>SUM(E348:K348)/D348</f>
        <v>0.86197630972255346</v>
      </c>
      <c r="S348" s="47">
        <f>SUM(E348,I348)/SUM(E348:K348)</f>
        <v>0.69668351348360202</v>
      </c>
      <c r="T348" s="47">
        <f>SUM(F348,J348)/SUM(E348:K348)</f>
        <v>0.25506326779060762</v>
      </c>
      <c r="U348" s="25">
        <f t="shared" ref="U348:V348" si="212">IF(OR(ISBLANK($R348),ISBLANK(S348)),"NA",$R348*S348)</f>
        <v>0.6005246839971381</v>
      </c>
      <c r="V348" s="25">
        <f t="shared" si="212"/>
        <v>0.21985849431592339</v>
      </c>
      <c r="W348" s="25"/>
      <c r="X348" s="25"/>
    </row>
    <row r="351" spans="1:30" x14ac:dyDescent="0.4">
      <c r="A351" s="10" t="s">
        <v>38</v>
      </c>
      <c r="B351" s="11"/>
      <c r="C351" s="12"/>
      <c r="D351" s="13"/>
      <c r="E351" s="24"/>
      <c r="F351" s="24"/>
      <c r="G351" s="24"/>
      <c r="H351" s="24"/>
      <c r="I351" s="24"/>
      <c r="J351" s="14"/>
      <c r="K351" s="14"/>
      <c r="L351" s="14"/>
      <c r="M351" s="14"/>
      <c r="N351" s="13"/>
      <c r="O351" s="13"/>
      <c r="P351" s="13"/>
      <c r="Q351" s="13"/>
      <c r="R351" s="13"/>
      <c r="S351" s="13"/>
      <c r="T351" s="13"/>
      <c r="U351" s="13"/>
      <c r="V351" s="13"/>
      <c r="W351" s="13"/>
      <c r="X351" s="13"/>
      <c r="Y351" s="13"/>
      <c r="Z351" s="13"/>
      <c r="AA351" s="13"/>
      <c r="AB351" s="13"/>
      <c r="AC351" s="13"/>
      <c r="AD351" s="13"/>
    </row>
    <row r="352" spans="1:30" x14ac:dyDescent="0.4">
      <c r="A352" s="13" t="s">
        <v>451</v>
      </c>
      <c r="B352" s="11"/>
      <c r="C352" s="12"/>
      <c r="D352" s="13"/>
      <c r="E352" s="24"/>
      <c r="F352" s="24"/>
      <c r="G352" s="24"/>
      <c r="H352" s="24"/>
      <c r="I352" s="24"/>
      <c r="J352" s="14"/>
      <c r="K352" s="14"/>
      <c r="L352" s="14"/>
      <c r="M352" s="14"/>
      <c r="N352" s="13"/>
      <c r="O352" s="13"/>
      <c r="P352" s="13"/>
      <c r="Q352" s="13"/>
      <c r="R352" s="13"/>
      <c r="S352" s="13"/>
      <c r="T352" s="13"/>
      <c r="U352" s="13"/>
      <c r="V352" s="13"/>
      <c r="W352" s="13"/>
      <c r="X352" s="13"/>
      <c r="Y352" s="13"/>
      <c r="Z352" s="13"/>
      <c r="AA352" s="13"/>
      <c r="AB352" s="13"/>
      <c r="AC352" s="13"/>
      <c r="AD352" s="13"/>
    </row>
    <row r="353" spans="1:30" ht="36.9" x14ac:dyDescent="0.4">
      <c r="A353" s="10" t="s">
        <v>39</v>
      </c>
      <c r="B353" s="11"/>
      <c r="C353" s="12"/>
      <c r="D353" s="12" t="s">
        <v>96</v>
      </c>
      <c r="E353" s="33" t="s">
        <v>153</v>
      </c>
      <c r="F353" s="33" t="s">
        <v>154</v>
      </c>
      <c r="G353" s="33" t="s">
        <v>155</v>
      </c>
      <c r="H353" s="33" t="s">
        <v>156</v>
      </c>
      <c r="I353" s="33" t="s">
        <v>452</v>
      </c>
      <c r="J353" s="41" t="s">
        <v>100</v>
      </c>
      <c r="K353" s="41" t="s">
        <v>157</v>
      </c>
      <c r="M353" s="41"/>
      <c r="N353" s="22"/>
      <c r="O353" s="42"/>
      <c r="P353" s="13"/>
      <c r="Q353" s="20"/>
      <c r="R353" s="21" t="s">
        <v>102</v>
      </c>
      <c r="S353" s="21" t="s">
        <v>103</v>
      </c>
      <c r="T353" s="21" t="s">
        <v>104</v>
      </c>
      <c r="U353" s="21" t="s">
        <v>105</v>
      </c>
      <c r="V353" s="21" t="s">
        <v>106</v>
      </c>
      <c r="W353" s="22"/>
      <c r="X353" s="22"/>
      <c r="Y353" s="13"/>
      <c r="Z353" s="20"/>
      <c r="AA353" s="20"/>
      <c r="AB353" s="68"/>
      <c r="AC353" s="68" t="s">
        <v>158</v>
      </c>
      <c r="AD353" s="13"/>
    </row>
    <row r="354" spans="1:30" ht="14.25" customHeight="1" x14ac:dyDescent="0.4">
      <c r="A354" s="10"/>
      <c r="B354" s="11"/>
      <c r="C354" s="12">
        <v>2022</v>
      </c>
      <c r="D354" s="23">
        <f>SUM(E354:K354)</f>
        <v>17174</v>
      </c>
      <c r="E354" s="69">
        <v>9653</v>
      </c>
      <c r="F354" s="69">
        <v>0</v>
      </c>
      <c r="G354" s="69">
        <v>3333</v>
      </c>
      <c r="H354" s="69">
        <v>3330</v>
      </c>
      <c r="I354" s="69">
        <v>908</v>
      </c>
      <c r="J354" s="56">
        <v>889</v>
      </c>
      <c r="K354" s="14">
        <v>-939</v>
      </c>
      <c r="M354" s="14"/>
      <c r="N354" s="13"/>
      <c r="O354" s="13"/>
      <c r="P354" s="13"/>
      <c r="Q354" s="13" t="str">
        <f>$A$353&amp;C354&amp;"REV"</f>
        <v>D2022REV</v>
      </c>
      <c r="R354" s="195">
        <f>IF(SUM(E354,F354,G354,H354,I354*($AC354/$AC356))/D354&gt;100%,100%,SUM(E354,F354,G354,H354,I354*($AC354/$AC356))/D354)</f>
        <v>0.99258547285420529</v>
      </c>
      <c r="S354" s="195">
        <f>SUM(E354,H354,I354*($AC354/$AC356))/SUM(E354,F354,G354,H354,I354*($AC354/$AC356))</f>
        <v>0.80447786071438498</v>
      </c>
      <c r="T354" s="195">
        <f>G354/SUM(E354,F354,G354,H354,I354*($AC354/$AC356))</f>
        <v>0.19552213928561515</v>
      </c>
      <c r="U354" s="178">
        <f>IF(OR(ISBLANK($R354),ISBLANK(S354)),"NA",$R354*S354)</f>
        <v>0.79851303777792737</v>
      </c>
      <c r="V354" s="178">
        <f>IF(OR(ISBLANK($R354),ISBLANK(T354)),"NA",$R354*T354)</f>
        <v>0.19407243507627811</v>
      </c>
      <c r="W354" s="178"/>
      <c r="X354" s="178"/>
      <c r="Y354" s="13"/>
      <c r="Z354" s="13" t="s">
        <v>159</v>
      </c>
      <c r="AA354" s="13"/>
      <c r="AB354" s="12"/>
      <c r="AC354" s="196">
        <v>85.7</v>
      </c>
    </row>
    <row r="355" spans="1:30" x14ac:dyDescent="0.4">
      <c r="A355" s="13"/>
      <c r="B355" s="11" t="s">
        <v>107</v>
      </c>
      <c r="C355" s="12">
        <v>2021</v>
      </c>
      <c r="D355" s="23">
        <f t="shared" ref="D355:D356" si="213">SUM(E355:K355)</f>
        <v>13964</v>
      </c>
      <c r="E355" s="69">
        <v>7999</v>
      </c>
      <c r="F355" s="69">
        <v>0</v>
      </c>
      <c r="G355" s="69">
        <v>2665</v>
      </c>
      <c r="H355" s="69">
        <v>2975</v>
      </c>
      <c r="I355" s="69">
        <v>1085</v>
      </c>
      <c r="J355" s="56">
        <v>184</v>
      </c>
      <c r="K355" s="14">
        <v>-944</v>
      </c>
      <c r="M355" s="14"/>
      <c r="N355" s="13"/>
      <c r="O355" s="13"/>
      <c r="P355" s="13"/>
      <c r="Q355" s="13" t="str">
        <f>$A$353&amp;C355&amp;"REV"</f>
        <v>D2021REV</v>
      </c>
      <c r="R355" s="195">
        <f>IF(SUM(E355,F355,G355,H355,I355*($AC$358/$AC$360))/D355&gt;100%,100%,SUM(E355,F355,G355,H355,I355*($AC$358/$AC$360))/D355)</f>
        <v>1</v>
      </c>
      <c r="S355" s="195">
        <f>SUM(E355,H355,I355*($AC$358/$AC$360))/SUM(E355,F355,G355,H355,I355*($AC$358/$AC$360))</f>
        <v>0.81654856718343438</v>
      </c>
      <c r="T355" s="195">
        <f>G355/SUM(E355,F355,G355,H355,I355*($AC$358/$AC$360))</f>
        <v>0.18345143281656567</v>
      </c>
      <c r="U355" s="178">
        <f t="shared" ref="U355:V356" si="214">IF(OR(ISBLANK($R355),ISBLANK(S355)),"NA",$R355*S355)</f>
        <v>0.81654856718343438</v>
      </c>
      <c r="V355" s="178">
        <f t="shared" si="214"/>
        <v>0.18345143281656567</v>
      </c>
      <c r="W355" s="178"/>
      <c r="X355" s="178"/>
      <c r="Y355" s="13"/>
      <c r="Z355" s="13" t="s">
        <v>161</v>
      </c>
      <c r="AA355" s="13"/>
      <c r="AB355" s="68"/>
      <c r="AC355" s="197">
        <v>20.8</v>
      </c>
    </row>
    <row r="356" spans="1:30" ht="14.4" x14ac:dyDescent="0.55000000000000004">
      <c r="A356" s="13"/>
      <c r="B356" s="11"/>
      <c r="C356" s="12">
        <v>2020</v>
      </c>
      <c r="D356" s="23">
        <f t="shared" si="213"/>
        <v>14692</v>
      </c>
      <c r="E356" s="43">
        <v>7787</v>
      </c>
      <c r="F356" s="70">
        <v>0</v>
      </c>
      <c r="G356" s="70">
        <v>2355</v>
      </c>
      <c r="H356" s="70">
        <v>2787</v>
      </c>
      <c r="I356" s="70">
        <v>1071</v>
      </c>
      <c r="J356" s="198">
        <v>1683</v>
      </c>
      <c r="K356" s="148">
        <v>-991</v>
      </c>
      <c r="M356" s="14"/>
      <c r="N356" s="13"/>
      <c r="O356" s="13"/>
      <c r="P356" s="13"/>
      <c r="Q356" s="13" t="str">
        <f>$A$353&amp;C356&amp;"REV"</f>
        <v>D2020REV</v>
      </c>
      <c r="R356" s="195">
        <f>IF(SUM(E356,F356,G356,H356,I356*($AC$362/$AC$364))/D356&gt;100%,100%,SUM(E356,F356,G356,H356,I356*($AC$362/$AC$364))/D356)</f>
        <v>0.93931544440682635</v>
      </c>
      <c r="S356" s="195">
        <f>SUM(E356,H356,I356*($AC$362/$AC$364))/SUM(E356,F356,G356,H356,I356*($AC$362/$AC$364))</f>
        <v>0.82935305071813803</v>
      </c>
      <c r="T356" s="195">
        <f>G356/SUM(E356,F356,G356,H356,I356*($AC$362/$AC$364))</f>
        <v>0.17064694928186191</v>
      </c>
      <c r="U356" s="178">
        <f t="shared" si="214"/>
        <v>0.77902412940546506</v>
      </c>
      <c r="V356" s="178">
        <f t="shared" si="214"/>
        <v>0.16029131500136129</v>
      </c>
      <c r="W356" s="178"/>
      <c r="X356" s="178"/>
      <c r="Y356" s="13"/>
      <c r="Z356" s="13"/>
      <c r="AA356" s="13"/>
      <c r="AB356" s="12"/>
      <c r="AC356" s="199">
        <f>SUM(AC354:AC355)</f>
        <v>106.5</v>
      </c>
      <c r="AD356" s="13" t="s">
        <v>453</v>
      </c>
    </row>
    <row r="357" spans="1:30" x14ac:dyDescent="0.4">
      <c r="A357" s="13"/>
      <c r="B357" s="11"/>
      <c r="D357" s="23"/>
      <c r="K357" s="14"/>
      <c r="M357" s="14"/>
      <c r="N357" s="13"/>
      <c r="O357" s="13"/>
      <c r="P357" s="13"/>
      <c r="Q357" s="13"/>
      <c r="Y357" s="13"/>
      <c r="Z357" s="13"/>
      <c r="AA357" s="13"/>
      <c r="AB357" s="13"/>
      <c r="AC357" s="13"/>
      <c r="AD357" s="13"/>
    </row>
    <row r="358" spans="1:30" ht="14.4" x14ac:dyDescent="0.55000000000000004">
      <c r="A358" s="13"/>
      <c r="B358" s="11"/>
      <c r="C358" s="12">
        <v>2022</v>
      </c>
      <c r="D358" s="23">
        <f>SUM(E358:K358)</f>
        <v>1621</v>
      </c>
      <c r="E358" s="18">
        <v>3046</v>
      </c>
      <c r="F358" s="18">
        <v>0</v>
      </c>
      <c r="G358" s="18">
        <v>950</v>
      </c>
      <c r="H358" s="18">
        <v>851</v>
      </c>
      <c r="I358" s="43">
        <v>184</v>
      </c>
      <c r="J358" s="18">
        <v>-3410</v>
      </c>
      <c r="K358" s="14">
        <v>0</v>
      </c>
      <c r="M358" s="14"/>
      <c r="N358" s="13"/>
      <c r="O358" s="13"/>
      <c r="P358" s="13"/>
      <c r="Q358" s="13" t="str">
        <f>$A$353&amp;C358&amp;"INC"</f>
        <v>D2022INC</v>
      </c>
      <c r="R358" s="195">
        <f>IF(SUM(E358,F358,G358,H358,I358*($AC$354/$AC$356))/D358&gt;100%,100%,SUM(E358,F358,G358,H358,I358*($AC$354/$AC$356))/D358)</f>
        <v>1</v>
      </c>
      <c r="S358" s="195">
        <f>SUM(E358,H358,I358*($AC$354/$AC$356))/SUM(E358,F358,G358,H358,I358*($AC$354/$AC$356))</f>
        <v>0.80981224092968396</v>
      </c>
      <c r="T358" s="195">
        <f>G358/SUM(E358,F358,G358,H358,I358*($AC$354/$AC$356))</f>
        <v>0.19018775907031599</v>
      </c>
      <c r="U358" s="178">
        <f>IF(OR(ISBLANK($R358),ISBLANK(S358)),"NA",$R358*S358)</f>
        <v>0.80981224092968396</v>
      </c>
      <c r="V358" s="178">
        <f>IF(OR(ISBLANK($R358),ISBLANK(T358)),"NA",$R358*T358)</f>
        <v>0.19018775907031599</v>
      </c>
      <c r="W358" s="178"/>
      <c r="X358" s="178"/>
      <c r="Y358" s="13"/>
      <c r="Z358" s="13" t="s">
        <v>159</v>
      </c>
      <c r="AA358" s="13"/>
      <c r="AB358" s="23"/>
      <c r="AC358" s="200">
        <v>87</v>
      </c>
    </row>
    <row r="359" spans="1:30" ht="14.4" x14ac:dyDescent="0.55000000000000004">
      <c r="A359" s="13"/>
      <c r="B359" s="11" t="s">
        <v>109</v>
      </c>
      <c r="C359" s="12">
        <v>2021</v>
      </c>
      <c r="D359" s="23">
        <f t="shared" ref="D359:D360" si="215">SUM(E359:K359)</f>
        <v>4353</v>
      </c>
      <c r="E359" s="18">
        <v>2905</v>
      </c>
      <c r="F359" s="18">
        <v>0</v>
      </c>
      <c r="G359" s="18">
        <v>796</v>
      </c>
      <c r="H359" s="18">
        <v>761</v>
      </c>
      <c r="I359" s="43">
        <v>255</v>
      </c>
      <c r="J359" s="18">
        <v>-364</v>
      </c>
      <c r="K359" s="14">
        <v>0</v>
      </c>
      <c r="M359" s="14"/>
      <c r="N359" s="13"/>
      <c r="O359" s="13"/>
      <c r="P359" s="13"/>
      <c r="Q359" s="13" t="str">
        <f>$A$353&amp;C359&amp;"INC"</f>
        <v>D2021INC</v>
      </c>
      <c r="R359" s="195">
        <f>IF(SUM(E359,F359,G359,H359,I359*($AC$358/$AC$360))/D359&gt;100%,100%,SUM(E359,F359,G359,H359,I359*($AC$358/$AC$360))/D359)</f>
        <v>1</v>
      </c>
      <c r="S359" s="195">
        <f>SUM(E359,H359,I359*($AC$358/$AC$360))/SUM(E359,F359,G359,H359,I359*($AC$358/$AC$360))</f>
        <v>0.82957593179073497</v>
      </c>
      <c r="T359" s="195">
        <f>G359/SUM(E359,F359,G359,H359,I359*($AC$358/$AC$360))</f>
        <v>0.17042406820926509</v>
      </c>
      <c r="U359" s="178">
        <f t="shared" ref="U359:V360" si="216">IF(OR(ISBLANK($R359),ISBLANK(S359)),"NA",$R359*S359)</f>
        <v>0.82957593179073497</v>
      </c>
      <c r="V359" s="178">
        <f t="shared" si="216"/>
        <v>0.17042406820926509</v>
      </c>
      <c r="W359" s="178"/>
      <c r="X359" s="178"/>
      <c r="Y359" s="13"/>
      <c r="Z359" s="13" t="s">
        <v>161</v>
      </c>
      <c r="AA359" s="13"/>
      <c r="AB359" s="71"/>
      <c r="AC359" s="201">
        <v>19.3</v>
      </c>
    </row>
    <row r="360" spans="1:30" ht="14.4" x14ac:dyDescent="0.55000000000000004">
      <c r="A360" s="13"/>
      <c r="B360" s="11"/>
      <c r="C360" s="12">
        <v>2020</v>
      </c>
      <c r="D360" s="23">
        <f t="shared" si="215"/>
        <v>913</v>
      </c>
      <c r="E360" s="18">
        <v>2901</v>
      </c>
      <c r="F360" s="18">
        <v>0</v>
      </c>
      <c r="G360" s="18">
        <v>751</v>
      </c>
      <c r="H360" s="18">
        <v>734</v>
      </c>
      <c r="I360" s="202">
        <v>335</v>
      </c>
      <c r="J360" s="18">
        <v>-3808</v>
      </c>
      <c r="K360" s="14">
        <v>0</v>
      </c>
      <c r="M360" s="14"/>
      <c r="N360" s="13"/>
      <c r="O360" s="13"/>
      <c r="P360" s="13"/>
      <c r="Q360" s="13" t="str">
        <f>$A$353&amp;C360&amp;"INC"</f>
        <v>D2020INC</v>
      </c>
      <c r="R360" s="195">
        <f>IF(SUM(E360,F360,G360,H360,I360*($AC$362/$AC$364))/D360&gt;100%,100%,SUM(E360,F360,G360,H360,I360*($AC$362/$AC$364))/D360)</f>
        <v>1</v>
      </c>
      <c r="S360" s="195">
        <f>SUM(E360,H360,I360*($AC$362/$AC$364))/SUM(E360,F360,G360,H360,I360*($AC$362/$AC$364))</f>
        <v>0.83879186375001136</v>
      </c>
      <c r="T360" s="195">
        <f>G360/SUM(E360,F360,G360,H360,I360*($AC$362/$AC$364))</f>
        <v>0.16120813624998859</v>
      </c>
      <c r="U360" s="178">
        <f t="shared" si="216"/>
        <v>0.83879186375001136</v>
      </c>
      <c r="V360" s="178">
        <f t="shared" si="216"/>
        <v>0.16120813624998859</v>
      </c>
      <c r="W360" s="178"/>
      <c r="X360" s="178"/>
      <c r="Y360" s="13"/>
      <c r="Z360" s="13"/>
      <c r="AA360" s="13"/>
      <c r="AB360" s="23"/>
      <c r="AC360" s="46">
        <f>SUM(AC358:AC359)</f>
        <v>106.3</v>
      </c>
      <c r="AD360" s="13" t="s">
        <v>454</v>
      </c>
    </row>
    <row r="361" spans="1:30" x14ac:dyDescent="0.4">
      <c r="A361" s="13"/>
      <c r="B361" s="11"/>
      <c r="D361" s="23"/>
      <c r="K361" s="14"/>
      <c r="M361" s="14"/>
      <c r="N361" s="13"/>
      <c r="O361" s="13"/>
      <c r="P361" s="13"/>
      <c r="Q361" s="13"/>
      <c r="Y361" s="13"/>
      <c r="Z361" s="13"/>
      <c r="AA361" s="13"/>
      <c r="AB361" s="13"/>
      <c r="AC361" s="13"/>
      <c r="AD361" s="13"/>
    </row>
    <row r="362" spans="1:30" x14ac:dyDescent="0.4">
      <c r="A362" s="13"/>
      <c r="B362" s="11"/>
      <c r="C362" s="12">
        <v>2022</v>
      </c>
      <c r="D362" s="23">
        <f>SUM(E362:K362)</f>
        <v>104200</v>
      </c>
      <c r="E362" s="18">
        <v>55400</v>
      </c>
      <c r="F362" s="18">
        <v>0</v>
      </c>
      <c r="G362" s="18">
        <v>19600</v>
      </c>
      <c r="H362" s="18">
        <v>17200</v>
      </c>
      <c r="I362" s="18">
        <v>9700</v>
      </c>
      <c r="J362" s="18">
        <v>8100</v>
      </c>
      <c r="K362" s="14">
        <v>-5800</v>
      </c>
      <c r="M362" s="14"/>
      <c r="N362" s="13"/>
      <c r="O362" s="13"/>
      <c r="P362" s="13"/>
      <c r="Q362" s="13" t="str">
        <f>$A$353&amp;C362&amp;"ASSETS"</f>
        <v>D2022ASSETS</v>
      </c>
      <c r="R362" s="195">
        <f>IF(SUM(E362,F362,G362,H362,I362*($AC$354/$AC$356))/D362&gt;100%,100%,SUM(E362,F362,G362,H362,I362*($AC$354/$AC$356))/D362)</f>
        <v>0.95974606435799692</v>
      </c>
      <c r="S362" s="195">
        <f>SUM(E362,H362,I362*($AC$354/$AC$356))/SUM(E362,F362,G362,H362,I362*($AC$354/$AC$356))</f>
        <v>0.80401085761446078</v>
      </c>
      <c r="T362" s="195">
        <f>G362/SUM(E362,F362,G362,H362,I362*($AC$354/$AC$356))</f>
        <v>0.19598914238553922</v>
      </c>
      <c r="U362" s="178">
        <f>IF(OR(ISBLANK($R362),ISBLANK(S362)),"NA",$R362*S362)</f>
        <v>0.77164625629657657</v>
      </c>
      <c r="V362" s="178">
        <f>IF(OR(ISBLANK($R362),ISBLANK(T362)),"NA",$R362*T362)</f>
        <v>0.18809980806142035</v>
      </c>
      <c r="W362" s="178"/>
      <c r="X362" s="178"/>
      <c r="Y362" s="13"/>
      <c r="Z362" s="13" t="s">
        <v>159</v>
      </c>
      <c r="AA362" s="13"/>
      <c r="AB362" s="23"/>
      <c r="AC362" s="46">
        <v>88.2</v>
      </c>
    </row>
    <row r="363" spans="1:30" ht="14.4" x14ac:dyDescent="0.55000000000000004">
      <c r="A363" s="13"/>
      <c r="B363" s="11" t="s">
        <v>110</v>
      </c>
      <c r="C363" s="12">
        <v>2021</v>
      </c>
      <c r="D363" s="23">
        <f t="shared" ref="D363" si="217">SUM(E363:K363)</f>
        <v>99600</v>
      </c>
      <c r="E363" s="18">
        <v>50300</v>
      </c>
      <c r="F363" s="18">
        <v>0</v>
      </c>
      <c r="G363" s="18">
        <v>18500</v>
      </c>
      <c r="H363" s="18">
        <v>16400</v>
      </c>
      <c r="I363" s="18">
        <v>12300</v>
      </c>
      <c r="J363" s="147">
        <v>7100</v>
      </c>
      <c r="K363" s="14">
        <v>-5000</v>
      </c>
      <c r="M363" s="14"/>
      <c r="N363" s="13"/>
      <c r="O363" s="13"/>
      <c r="P363" s="13"/>
      <c r="Q363" s="13" t="str">
        <f>$A$353&amp;C363&amp;"ASSETS"</f>
        <v>D2021ASSETS</v>
      </c>
      <c r="R363" s="195">
        <f>IF(SUM(E363,F363,G363,H363,I363*($AC$358/$AC$360))/D363&gt;100%,100%,SUM(E363,F363,G363,H363,I363*($AC$358/$AC$360))/D363)</f>
        <v>0.95649389656462158</v>
      </c>
      <c r="S363" s="195">
        <f>SUM(E363,H363,I363*($AC$358/$AC$360))/SUM(E363,F363,G363,H363,I363*($AC$358/$AC$360))</f>
        <v>0.80580851320152547</v>
      </c>
      <c r="T363" s="195">
        <f>G363/SUM(E363,F363,G363,H363,I363*($AC$358/$AC$360))</f>
        <v>0.19419148679847456</v>
      </c>
      <c r="U363" s="178">
        <f t="shared" ref="U363:V364" si="218">IF(OR(ISBLANK($R363),ISBLANK(S363)),"NA",$R363*S363)</f>
        <v>0.7707509246770714</v>
      </c>
      <c r="V363" s="178">
        <f t="shared" si="218"/>
        <v>0.18574297188755021</v>
      </c>
      <c r="W363" s="178"/>
      <c r="X363" s="178"/>
      <c r="Y363" s="13"/>
      <c r="Z363" s="13" t="s">
        <v>161</v>
      </c>
      <c r="AA363" s="13"/>
      <c r="AB363" s="71"/>
      <c r="AC363" s="72">
        <v>20.2</v>
      </c>
    </row>
    <row r="364" spans="1:30" x14ac:dyDescent="0.4">
      <c r="A364" s="13"/>
      <c r="B364" s="13"/>
      <c r="C364" s="12">
        <v>2020</v>
      </c>
      <c r="D364" s="23">
        <f>SUM(E364:N364)</f>
        <v>95900</v>
      </c>
      <c r="E364" s="18">
        <v>46000</v>
      </c>
      <c r="F364" s="18">
        <v>0</v>
      </c>
      <c r="G364" s="18">
        <v>17100</v>
      </c>
      <c r="H364" s="18">
        <v>16000</v>
      </c>
      <c r="I364" s="18">
        <v>13100</v>
      </c>
      <c r="J364" s="44">
        <v>8600</v>
      </c>
      <c r="K364" s="14">
        <v>-4900</v>
      </c>
      <c r="M364" s="14"/>
      <c r="N364" s="14"/>
      <c r="O364" s="13"/>
      <c r="P364" s="13"/>
      <c r="Q364" s="13" t="str">
        <f>$A$353&amp;C364&amp;"ASSETS"</f>
        <v>D2020ASSETS</v>
      </c>
      <c r="R364" s="195">
        <f>IF(SUM(E364,F364,G364,H364,I364*($AC$362/$AC$364))/D364&gt;100%,100%,SUM(E364,F364,G364,H364,I364*($AC$362/$AC$364))/D364)</f>
        <v>0.93596304576184453</v>
      </c>
      <c r="S364" s="195">
        <f>SUM(E364,H364,I364*($AC$362/$AC$364))/SUM(E364,F364,G364,H364,I364*($AC$362/$AC$364))</f>
        <v>0.80948955072323758</v>
      </c>
      <c r="T364" s="195">
        <f>G364/SUM(E364,F364,G364,H364,I364*($AC$362/$AC$364))</f>
        <v>0.19051044927676244</v>
      </c>
      <c r="U364" s="178">
        <f t="shared" si="218"/>
        <v>0.75765230540730855</v>
      </c>
      <c r="V364" s="178">
        <f t="shared" si="218"/>
        <v>0.17831074035453598</v>
      </c>
      <c r="W364" s="178"/>
      <c r="X364" s="178"/>
      <c r="Y364" s="13"/>
      <c r="Z364" s="13"/>
      <c r="AA364" s="13"/>
      <c r="AB364" s="23"/>
      <c r="AC364" s="46">
        <f>SUM(AC362:AC363)</f>
        <v>108.4</v>
      </c>
      <c r="AD364" s="13" t="s">
        <v>160</v>
      </c>
    </row>
    <row r="365" spans="1:30" x14ac:dyDescent="0.4">
      <c r="A365" s="13"/>
      <c r="B365" s="11"/>
      <c r="C365" s="12"/>
      <c r="D365" s="23"/>
      <c r="E365" s="19"/>
      <c r="F365" s="19"/>
      <c r="G365" s="19"/>
      <c r="H365" s="19"/>
      <c r="I365" s="19"/>
      <c r="J365" s="14"/>
      <c r="K365" s="14"/>
      <c r="L365" s="14"/>
      <c r="M365" s="14"/>
      <c r="N365" s="13"/>
      <c r="O365" s="13"/>
      <c r="P365" s="13"/>
      <c r="Q365" s="13"/>
      <c r="R365" s="13"/>
      <c r="S365" s="13"/>
      <c r="T365" s="13"/>
      <c r="U365" s="13"/>
      <c r="V365" s="13"/>
      <c r="W365" s="13"/>
      <c r="X365" s="13"/>
      <c r="Y365" s="13"/>
    </row>
    <row r="368" spans="1:30" x14ac:dyDescent="0.4">
      <c r="A368" s="10" t="s">
        <v>40</v>
      </c>
      <c r="B368" s="11"/>
      <c r="C368" s="12"/>
      <c r="D368" s="13"/>
      <c r="E368" s="24"/>
      <c r="F368" s="24"/>
      <c r="G368" s="24"/>
      <c r="H368" s="24"/>
      <c r="I368" s="24"/>
      <c r="J368" s="24"/>
      <c r="K368" s="24"/>
      <c r="L368" s="14"/>
      <c r="M368" s="14"/>
      <c r="N368" s="13"/>
      <c r="O368" s="13"/>
      <c r="P368" s="13"/>
      <c r="Q368" s="13"/>
      <c r="R368" s="13"/>
      <c r="S368" s="13"/>
      <c r="T368" s="13"/>
      <c r="U368" s="13"/>
      <c r="V368" s="13"/>
      <c r="W368" s="13"/>
      <c r="X368" s="13"/>
    </row>
    <row r="369" spans="1:24" x14ac:dyDescent="0.4">
      <c r="A369" s="13" t="s">
        <v>455</v>
      </c>
      <c r="B369" s="11"/>
      <c r="C369" s="12"/>
      <c r="D369" s="13"/>
      <c r="E369" s="24"/>
      <c r="F369" s="24"/>
      <c r="G369" s="24" t="s">
        <v>162</v>
      </c>
      <c r="H369" s="24"/>
      <c r="I369" s="24"/>
      <c r="J369" s="24"/>
      <c r="K369" s="24"/>
      <c r="L369" s="14"/>
      <c r="M369" s="14"/>
      <c r="N369" s="13"/>
      <c r="O369" s="13"/>
      <c r="P369" s="13"/>
      <c r="Q369" s="13"/>
      <c r="R369" s="13"/>
      <c r="S369" s="13"/>
      <c r="T369" s="13"/>
      <c r="U369" s="13"/>
      <c r="V369" s="13"/>
      <c r="W369" s="13"/>
      <c r="X369" s="13"/>
    </row>
    <row r="370" spans="1:24" ht="36.9" x14ac:dyDescent="0.4">
      <c r="A370" s="10" t="s">
        <v>41</v>
      </c>
      <c r="B370" s="11"/>
      <c r="C370" s="12"/>
      <c r="D370" s="12" t="s">
        <v>96</v>
      </c>
      <c r="E370" s="26" t="s">
        <v>141</v>
      </c>
      <c r="F370" s="26" t="s">
        <v>149</v>
      </c>
      <c r="G370" s="26" t="s">
        <v>163</v>
      </c>
      <c r="H370" s="26" t="s">
        <v>456</v>
      </c>
      <c r="I370" s="26" t="s">
        <v>164</v>
      </c>
      <c r="J370" s="26" t="s">
        <v>165</v>
      </c>
      <c r="K370" s="26" t="s">
        <v>166</v>
      </c>
      <c r="L370" s="73"/>
      <c r="M370" s="14"/>
      <c r="N370" s="13"/>
      <c r="O370" s="13"/>
      <c r="P370" s="13"/>
      <c r="Q370" s="20"/>
      <c r="R370" s="21" t="s">
        <v>102</v>
      </c>
      <c r="S370" s="21" t="s">
        <v>103</v>
      </c>
      <c r="T370" s="21" t="s">
        <v>104</v>
      </c>
      <c r="U370" s="21" t="s">
        <v>105</v>
      </c>
      <c r="V370" s="21" t="s">
        <v>106</v>
      </c>
      <c r="W370" s="22"/>
      <c r="X370" s="22"/>
    </row>
    <row r="371" spans="1:24" x14ac:dyDescent="0.4">
      <c r="A371" s="10"/>
      <c r="B371" s="11"/>
      <c r="C371" s="136">
        <v>2022</v>
      </c>
      <c r="D371" s="152">
        <f>SUM(E371:K371)</f>
        <v>19228</v>
      </c>
      <c r="E371" s="18">
        <f>6397+15</f>
        <v>6412</v>
      </c>
      <c r="F371" s="18">
        <v>1924</v>
      </c>
      <c r="G371" s="30">
        <v>0</v>
      </c>
      <c r="H371" s="18">
        <v>848</v>
      </c>
      <c r="I371" s="18">
        <v>10308</v>
      </c>
      <c r="J371" s="18">
        <v>0</v>
      </c>
      <c r="K371" s="18">
        <f>(-78)+(-186)</f>
        <v>-264</v>
      </c>
      <c r="L371" s="73"/>
      <c r="M371" s="14"/>
      <c r="N371" s="13"/>
      <c r="O371" s="13"/>
      <c r="P371" s="13"/>
      <c r="Q371" s="13" t="str">
        <f>$A$370&amp;C371&amp;"REV"</f>
        <v>DTE2022REV</v>
      </c>
      <c r="R371" s="48">
        <f>IF(SUM(E371:F371)/D371&gt;100%, 100%, SUM(E371:F371)/D371)</f>
        <v>0.43353442895776995</v>
      </c>
      <c r="S371" s="48">
        <f>E371/SUM(E371:F371)</f>
        <v>0.76919385796545103</v>
      </c>
      <c r="T371" s="48">
        <f>F371/(E371+F371)</f>
        <v>0.23080614203454894</v>
      </c>
      <c r="U371" s="25">
        <f>IF(OR(ISBLANK($R371),ISBLANK(S371)),"NA",$R371*S371)</f>
        <v>0.33347201997087583</v>
      </c>
      <c r="V371" s="25">
        <f>IF(OR(ISBLANK($R371),ISBLANK(T371)),"NA",$R371*T371)</f>
        <v>0.10006240898689411</v>
      </c>
      <c r="W371" s="25"/>
      <c r="X371" s="25"/>
    </row>
    <row r="372" spans="1:24" x14ac:dyDescent="0.4">
      <c r="A372" s="13"/>
      <c r="B372" s="11" t="s">
        <v>107</v>
      </c>
      <c r="C372" s="136">
        <v>2021</v>
      </c>
      <c r="D372" s="152">
        <f>SUM(E372:K372)</f>
        <v>14964</v>
      </c>
      <c r="E372" s="18">
        <f>5809+12</f>
        <v>5821</v>
      </c>
      <c r="F372" s="18">
        <v>1553</v>
      </c>
      <c r="G372" s="30">
        <v>0</v>
      </c>
      <c r="H372" s="18">
        <v>1482</v>
      </c>
      <c r="I372" s="18">
        <v>6831</v>
      </c>
      <c r="J372" s="18">
        <v>2</v>
      </c>
      <c r="K372" s="18">
        <f>(-74)+(-651)</f>
        <v>-725</v>
      </c>
      <c r="L372" s="19"/>
      <c r="M372" s="14"/>
      <c r="N372" s="13"/>
      <c r="O372" s="13"/>
      <c r="P372" s="13"/>
      <c r="Q372" s="13" t="str">
        <f>$A$370&amp;C372&amp;"REV"</f>
        <v>DTE2021REV</v>
      </c>
      <c r="R372" s="48">
        <f t="shared" ref="R372:R373" si="219">IF(SUM(E372:F372)/D372&gt;100%, 100%, SUM(E372:F372)/D372)</f>
        <v>0.49278267842822776</v>
      </c>
      <c r="S372" s="48">
        <f>E372/SUM(E372:F372)</f>
        <v>0.7893951722267426</v>
      </c>
      <c r="T372" s="48">
        <f>F372/(E372+F372)</f>
        <v>0.2106048277732574</v>
      </c>
      <c r="U372" s="25">
        <f>IF(OR(ISBLANK($R372),ISBLANK(S372)),"NA",$R372*S372)</f>
        <v>0.38900026730820636</v>
      </c>
      <c r="V372" s="25">
        <f>IF(OR(ISBLANK($R372),ISBLANK(T372)),"NA",$R372*T372)</f>
        <v>0.10378241112002139</v>
      </c>
      <c r="W372" s="25"/>
      <c r="X372" s="25"/>
    </row>
    <row r="373" spans="1:24" x14ac:dyDescent="0.4">
      <c r="A373" s="13"/>
      <c r="B373" s="11"/>
      <c r="C373" s="12">
        <v>2020</v>
      </c>
      <c r="D373" s="23">
        <f>SUM(E373:K373)</f>
        <v>11423</v>
      </c>
      <c r="E373" s="26">
        <f>5506+14</f>
        <v>5520</v>
      </c>
      <c r="F373" s="26">
        <v>1414</v>
      </c>
      <c r="G373" s="27">
        <v>0</v>
      </c>
      <c r="H373" s="26">
        <v>1224</v>
      </c>
      <c r="I373" s="26">
        <v>3863</v>
      </c>
      <c r="J373" s="26">
        <v>2</v>
      </c>
      <c r="K373" s="26">
        <f>-75-525</f>
        <v>-600</v>
      </c>
      <c r="L373" s="14"/>
      <c r="M373" s="14"/>
      <c r="N373" s="13"/>
      <c r="O373" s="13"/>
      <c r="P373" s="13"/>
      <c r="Q373" s="13" t="str">
        <f>$A$370&amp;C373&amp;"REV"</f>
        <v>DTE2020REV</v>
      </c>
      <c r="R373" s="48">
        <f t="shared" si="219"/>
        <v>0.60702092269981611</v>
      </c>
      <c r="S373" s="48">
        <f>E373/SUM(E373:F373)</f>
        <v>0.79607730025959045</v>
      </c>
      <c r="T373" s="48">
        <f>F373/(E373+F373)</f>
        <v>0.20392269974040958</v>
      </c>
      <c r="U373" s="25">
        <f t="shared" ref="U373:V373" si="220">IF(OR(ISBLANK($R373),ISBLANK(S373)),"NA",$R373*S373)</f>
        <v>0.48323557734395517</v>
      </c>
      <c r="V373" s="25">
        <f t="shared" si="220"/>
        <v>0.12378534535586097</v>
      </c>
      <c r="W373" s="178"/>
      <c r="X373" s="25"/>
    </row>
    <row r="374" spans="1:24" x14ac:dyDescent="0.4">
      <c r="A374" s="13"/>
      <c r="B374" s="11"/>
      <c r="C374" s="12"/>
      <c r="D374" s="13"/>
      <c r="E374" s="24"/>
      <c r="F374" s="24"/>
      <c r="G374" s="29"/>
      <c r="H374" s="24"/>
      <c r="I374" s="24"/>
      <c r="J374" s="24"/>
      <c r="K374" s="24"/>
      <c r="L374" s="14"/>
      <c r="M374" s="14"/>
      <c r="N374" s="13"/>
      <c r="O374" s="13"/>
      <c r="P374" s="13"/>
      <c r="Q374" s="13"/>
      <c r="R374" s="13"/>
      <c r="S374" s="13"/>
      <c r="T374" s="13"/>
      <c r="U374" s="13"/>
      <c r="V374" s="13"/>
      <c r="X374" s="13"/>
    </row>
    <row r="375" spans="1:24" x14ac:dyDescent="0.4">
      <c r="A375" s="13"/>
      <c r="B375" s="11"/>
      <c r="C375" s="12">
        <v>2022</v>
      </c>
      <c r="D375" s="23">
        <f>SUM(E375:K375)</f>
        <v>1748</v>
      </c>
      <c r="E375" s="24">
        <v>1305</v>
      </c>
      <c r="F375" s="24">
        <v>447</v>
      </c>
      <c r="G375" s="29">
        <v>0</v>
      </c>
      <c r="H375" s="24">
        <v>95</v>
      </c>
      <c r="I375" s="24">
        <v>-101</v>
      </c>
      <c r="J375" s="24">
        <v>0</v>
      </c>
      <c r="K375" s="24">
        <v>2</v>
      </c>
      <c r="L375" s="14"/>
      <c r="M375" s="14"/>
      <c r="N375" s="13"/>
      <c r="O375" s="13"/>
      <c r="P375" s="13"/>
      <c r="Q375" s="13" t="str">
        <f>$A$370&amp;C375&amp;"INC"</f>
        <v>DTE2022INC</v>
      </c>
      <c r="R375" s="48">
        <f>IF(SUM(E375:F375)/D375&gt;100%, 100%, SUM(E375:F375)/D375)</f>
        <v>1</v>
      </c>
      <c r="S375" s="48">
        <f t="shared" ref="S375:S377" si="221">E375/SUM(E375:F375)</f>
        <v>0.74486301369863017</v>
      </c>
      <c r="T375" s="48">
        <f t="shared" ref="T375:T381" si="222">F375/(E375+F375)</f>
        <v>0.25513698630136988</v>
      </c>
      <c r="U375" s="25">
        <f>IF(OR(ISBLANK($R375),ISBLANK(S375)),"NA",$R375*S375)</f>
        <v>0.74486301369863017</v>
      </c>
      <c r="V375" s="25">
        <f>IF(OR(ISBLANK($R375),ISBLANK(T375)),"NA",$R375*T375)</f>
        <v>0.25513698630136988</v>
      </c>
      <c r="W375" s="178"/>
      <c r="X375" s="25"/>
    </row>
    <row r="376" spans="1:24" x14ac:dyDescent="0.4">
      <c r="A376" s="13"/>
      <c r="B376" s="11" t="s">
        <v>109</v>
      </c>
      <c r="C376" s="12">
        <v>2021</v>
      </c>
      <c r="D376" s="23">
        <f>SUM(E376:K376)</f>
        <v>1495</v>
      </c>
      <c r="E376" s="24">
        <v>1290</v>
      </c>
      <c r="F376" s="24">
        <v>336</v>
      </c>
      <c r="G376" s="29">
        <v>0</v>
      </c>
      <c r="H376" s="24">
        <v>-15</v>
      </c>
      <c r="I376" s="24">
        <v>-86</v>
      </c>
      <c r="J376" s="24">
        <v>0</v>
      </c>
      <c r="K376" s="24">
        <v>-30</v>
      </c>
      <c r="L376" s="14"/>
      <c r="M376" s="14"/>
      <c r="N376" s="13"/>
      <c r="O376" s="13"/>
      <c r="P376" s="13"/>
      <c r="Q376" s="13" t="str">
        <f t="shared" ref="Q376:Q377" si="223">$A$370&amp;C376&amp;"INC"</f>
        <v>DTE2021INC</v>
      </c>
      <c r="R376" s="48">
        <f t="shared" ref="R376:R377" si="224">IF(SUM(E376:F376)/D376&gt;100%, 100%, SUM(E376:F376)/D376)</f>
        <v>1</v>
      </c>
      <c r="S376" s="48">
        <f t="shared" si="221"/>
        <v>0.79335793357933582</v>
      </c>
      <c r="T376" s="48">
        <f t="shared" si="222"/>
        <v>0.20664206642066421</v>
      </c>
      <c r="U376" s="25">
        <f>IF(OR(ISBLANK($R376),ISBLANK(S376)),"NA",$R376*S376)</f>
        <v>0.79335793357933582</v>
      </c>
      <c r="V376" s="25">
        <f>IF(OR(ISBLANK($R376),ISBLANK(T376)),"NA",$R376*T376)</f>
        <v>0.20664206642066421</v>
      </c>
      <c r="W376" s="178"/>
      <c r="X376" s="25"/>
    </row>
    <row r="377" spans="1:24" x14ac:dyDescent="0.4">
      <c r="A377" s="13"/>
      <c r="B377" s="11"/>
      <c r="C377" s="12">
        <v>2020</v>
      </c>
      <c r="D377" s="23">
        <f>SUM(E377:K377)</f>
        <v>1555</v>
      </c>
      <c r="E377" s="24">
        <v>1250</v>
      </c>
      <c r="F377" s="24">
        <v>307</v>
      </c>
      <c r="G377" s="29">
        <v>0</v>
      </c>
      <c r="H377" s="24">
        <v>-35</v>
      </c>
      <c r="I377" s="24">
        <v>52</v>
      </c>
      <c r="J377" s="24">
        <v>0</v>
      </c>
      <c r="K377" s="24">
        <v>-19</v>
      </c>
      <c r="L377" s="14"/>
      <c r="M377" s="14"/>
      <c r="N377" s="13"/>
      <c r="O377" s="13"/>
      <c r="P377" s="13"/>
      <c r="Q377" s="13" t="str">
        <f t="shared" si="223"/>
        <v>DTE2020INC</v>
      </c>
      <c r="R377" s="48">
        <f t="shared" si="224"/>
        <v>1</v>
      </c>
      <c r="S377" s="48">
        <f t="shared" si="221"/>
        <v>0.80282594733461787</v>
      </c>
      <c r="T377" s="48">
        <f t="shared" si="222"/>
        <v>0.19717405266538215</v>
      </c>
      <c r="U377" s="25">
        <f t="shared" ref="U377:V377" si="225">IF(OR(ISBLANK($R377),ISBLANK(S377)),"NA",$R377*S377)</f>
        <v>0.80282594733461787</v>
      </c>
      <c r="V377" s="25">
        <f t="shared" si="225"/>
        <v>0.19717405266538215</v>
      </c>
      <c r="W377" s="178"/>
      <c r="X377" s="25"/>
    </row>
    <row r="378" spans="1:24" x14ac:dyDescent="0.4">
      <c r="A378" s="13"/>
      <c r="B378" s="11"/>
      <c r="C378" s="12"/>
      <c r="D378" s="46"/>
      <c r="E378" s="24"/>
      <c r="F378" s="24"/>
      <c r="G378" s="29"/>
      <c r="H378" s="24"/>
      <c r="I378" s="24"/>
      <c r="J378" s="24"/>
      <c r="K378" s="24"/>
      <c r="L378" s="14"/>
      <c r="M378" s="14"/>
      <c r="N378" s="13"/>
      <c r="O378" s="13"/>
      <c r="P378" s="13"/>
      <c r="Q378" s="13"/>
      <c r="R378" s="13"/>
      <c r="S378" s="13"/>
      <c r="T378" s="13"/>
      <c r="U378" s="13"/>
      <c r="V378" s="13"/>
      <c r="W378" s="13"/>
      <c r="X378" s="13"/>
    </row>
    <row r="379" spans="1:24" x14ac:dyDescent="0.4">
      <c r="A379" s="13"/>
      <c r="B379" s="11"/>
      <c r="C379" s="12">
        <v>2022</v>
      </c>
      <c r="D379" s="159">
        <f>SUM(E379:K379)</f>
        <v>42683</v>
      </c>
      <c r="E379" s="24">
        <v>30342</v>
      </c>
      <c r="F379" s="24">
        <v>7321</v>
      </c>
      <c r="G379" s="29">
        <v>0</v>
      </c>
      <c r="H379" s="24">
        <v>1077</v>
      </c>
      <c r="I379" s="24">
        <v>1385</v>
      </c>
      <c r="J379" s="24">
        <v>4409</v>
      </c>
      <c r="K379" s="24">
        <v>-1851</v>
      </c>
      <c r="L379" s="14"/>
      <c r="M379" s="14"/>
      <c r="N379" s="13"/>
      <c r="O379" s="13"/>
      <c r="P379" s="13"/>
      <c r="Q379" s="13" t="str">
        <f>$A$370&amp;C379&amp;"ASSETS"</f>
        <v>DTE2022ASSETS</v>
      </c>
      <c r="R379" s="48">
        <f>IF(SUM(E379:F379)/D379&gt;100%, 100%, SUM(E379:F379)/D379)</f>
        <v>0.8823887730478176</v>
      </c>
      <c r="S379" s="48">
        <f t="shared" ref="S379:S381" si="226">E379/SUM(E379:F379)</f>
        <v>0.80561824602394927</v>
      </c>
      <c r="T379" s="48">
        <f t="shared" ref="T379" si="227">F379/(E379+F379)</f>
        <v>0.19438175397605076</v>
      </c>
      <c r="U379" s="25">
        <f>IF(OR(ISBLANK($R379),ISBLANK(S379)),"NA",$R379*S379)</f>
        <v>0.71086849565400745</v>
      </c>
      <c r="V379" s="25">
        <f>IF(OR(ISBLANK($R379),ISBLANK(T379)),"NA",$R379*T379)</f>
        <v>0.17152027739381018</v>
      </c>
      <c r="W379" s="25"/>
      <c r="X379" s="25"/>
    </row>
    <row r="380" spans="1:24" ht="14.4" x14ac:dyDescent="0.55000000000000004">
      <c r="A380" s="13"/>
      <c r="B380" s="11" t="s">
        <v>110</v>
      </c>
      <c r="C380" s="12">
        <v>2021</v>
      </c>
      <c r="D380" s="203">
        <f>SUM(E380:K380)</f>
        <v>39719</v>
      </c>
      <c r="E380" s="24">
        <v>28524</v>
      </c>
      <c r="F380" s="24">
        <v>6729</v>
      </c>
      <c r="G380" s="29">
        <v>0</v>
      </c>
      <c r="H380" s="24">
        <v>983</v>
      </c>
      <c r="I380" s="24">
        <v>1174</v>
      </c>
      <c r="J380" s="24">
        <v>4281</v>
      </c>
      <c r="K380" s="24">
        <v>-1972</v>
      </c>
      <c r="L380" s="14"/>
      <c r="M380" s="14"/>
      <c r="N380" s="13"/>
      <c r="O380" s="13"/>
      <c r="P380" s="13"/>
      <c r="Q380" s="13" t="str">
        <f t="shared" ref="Q380:Q381" si="228">$A$370&amp;C380&amp;"ASSETS"</f>
        <v>DTE2021ASSETS</v>
      </c>
      <c r="R380" s="48">
        <f t="shared" ref="R380:R381" si="229">IF(SUM(E380:F380)/D380&gt;100%, 100%, SUM(E380:F380)/D380)</f>
        <v>0.8875601097711423</v>
      </c>
      <c r="S380" s="48">
        <f t="shared" si="226"/>
        <v>0.80912262786145861</v>
      </c>
      <c r="T380" s="48">
        <f t="shared" si="222"/>
        <v>0.19087737213854139</v>
      </c>
      <c r="U380" s="25">
        <f>IF(OR(ISBLANK($R380),ISBLANK(S380)),"NA",$R380*S380)</f>
        <v>0.71814496840303133</v>
      </c>
      <c r="V380" s="25">
        <f>IF(OR(ISBLANK($R380),ISBLANK(T380)),"NA",$R380*T380)</f>
        <v>0.16941514136811098</v>
      </c>
      <c r="W380" s="25"/>
      <c r="X380" s="25"/>
    </row>
    <row r="381" spans="1:24" x14ac:dyDescent="0.4">
      <c r="A381" s="13"/>
      <c r="B381" s="13"/>
      <c r="C381" s="12">
        <v>2020</v>
      </c>
      <c r="D381" s="23">
        <f>SUM(E381:K381)</f>
        <v>45496</v>
      </c>
      <c r="E381" s="24">
        <v>26588</v>
      </c>
      <c r="F381" s="24">
        <v>6339</v>
      </c>
      <c r="G381" s="24">
        <v>0</v>
      </c>
      <c r="H381" s="24">
        <v>696</v>
      </c>
      <c r="I381" s="24">
        <v>807</v>
      </c>
      <c r="J381" s="24">
        <v>5063</v>
      </c>
      <c r="K381" s="24">
        <f>-2073+8076</f>
        <v>6003</v>
      </c>
      <c r="L381" s="14"/>
      <c r="M381" s="14"/>
      <c r="N381" s="13"/>
      <c r="O381" s="13"/>
      <c r="P381" s="13"/>
      <c r="Q381" s="13" t="str">
        <f t="shared" si="228"/>
        <v>DTE2020ASSETS</v>
      </c>
      <c r="R381" s="48">
        <f t="shared" si="229"/>
        <v>0.72373395463337431</v>
      </c>
      <c r="S381" s="48">
        <f t="shared" si="226"/>
        <v>0.80748322045737542</v>
      </c>
      <c r="T381" s="48">
        <f t="shared" si="222"/>
        <v>0.19251677954262458</v>
      </c>
      <c r="U381" s="25">
        <f t="shared" ref="U381:V381" si="230">IF(OR(ISBLANK($R381),ISBLANK(S381)),"NA",$R381*S381)</f>
        <v>0.58440302444170911</v>
      </c>
      <c r="V381" s="25">
        <f t="shared" si="230"/>
        <v>0.13933093019166518</v>
      </c>
      <c r="W381" s="25"/>
      <c r="X381" s="25"/>
    </row>
    <row r="382" spans="1:24" x14ac:dyDescent="0.4">
      <c r="D382" s="184"/>
    </row>
    <row r="385" spans="1:26" x14ac:dyDescent="0.4">
      <c r="A385" s="10" t="s">
        <v>42</v>
      </c>
      <c r="B385" s="11"/>
      <c r="C385" s="12"/>
      <c r="D385" s="13"/>
      <c r="E385" s="24"/>
      <c r="F385" s="24"/>
      <c r="G385" s="24"/>
      <c r="H385" s="24"/>
      <c r="I385" s="24"/>
      <c r="J385" s="14"/>
      <c r="K385" s="14"/>
      <c r="L385" s="14"/>
      <c r="M385" s="14"/>
      <c r="N385" s="13"/>
      <c r="O385" s="13"/>
      <c r="P385" s="13"/>
      <c r="Q385" s="13"/>
      <c r="R385" s="13"/>
      <c r="S385" s="13"/>
      <c r="T385" s="13"/>
      <c r="U385" s="13"/>
      <c r="V385" s="13"/>
      <c r="W385" s="13"/>
      <c r="X385" s="13"/>
    </row>
    <row r="386" spans="1:26" x14ac:dyDescent="0.4">
      <c r="A386" s="13" t="s">
        <v>457</v>
      </c>
      <c r="B386" s="11"/>
      <c r="C386" s="12"/>
      <c r="D386" s="13"/>
      <c r="E386" s="24"/>
      <c r="F386" s="24"/>
      <c r="G386" s="24"/>
      <c r="H386" s="24"/>
      <c r="I386" s="24"/>
      <c r="J386" s="14"/>
      <c r="K386" s="14"/>
      <c r="L386" s="14"/>
      <c r="M386" s="14"/>
      <c r="N386" s="13"/>
      <c r="O386" s="13"/>
      <c r="P386" s="13"/>
      <c r="Q386" s="13"/>
      <c r="R386" s="13"/>
      <c r="S386" s="13"/>
      <c r="T386" s="13"/>
      <c r="U386" s="13"/>
      <c r="V386" s="13"/>
      <c r="W386" s="13"/>
      <c r="X386" s="13"/>
    </row>
    <row r="387" spans="1:26" ht="36.9" x14ac:dyDescent="0.4">
      <c r="A387" s="10" t="s">
        <v>43</v>
      </c>
      <c r="B387" s="11"/>
      <c r="C387" s="12"/>
      <c r="D387" s="12" t="s">
        <v>96</v>
      </c>
      <c r="E387" s="26" t="s">
        <v>167</v>
      </c>
      <c r="F387" s="26" t="s">
        <v>168</v>
      </c>
      <c r="G387" s="26" t="s">
        <v>169</v>
      </c>
      <c r="H387" s="26" t="s">
        <v>130</v>
      </c>
      <c r="I387" s="26" t="s">
        <v>101</v>
      </c>
      <c r="J387" s="14"/>
      <c r="K387" s="14"/>
      <c r="L387" s="14"/>
      <c r="M387" s="14"/>
      <c r="N387" s="13"/>
      <c r="O387" s="13"/>
      <c r="P387" s="13"/>
      <c r="Q387" s="20"/>
      <c r="R387" s="21" t="s">
        <v>102</v>
      </c>
      <c r="S387" s="21" t="s">
        <v>103</v>
      </c>
      <c r="T387" s="21" t="s">
        <v>104</v>
      </c>
      <c r="U387" s="21" t="s">
        <v>105</v>
      </c>
      <c r="V387" s="21" t="s">
        <v>106</v>
      </c>
      <c r="W387" s="22"/>
      <c r="X387" s="22"/>
    </row>
    <row r="388" spans="1:26" ht="12.6" x14ac:dyDescent="0.45">
      <c r="A388" s="10"/>
      <c r="B388" s="11"/>
      <c r="C388" s="12">
        <v>2022</v>
      </c>
      <c r="D388" s="152">
        <f>SUM(E388:I388)</f>
        <v>28768</v>
      </c>
      <c r="E388" s="26">
        <v>26024</v>
      </c>
      <c r="F388" s="26">
        <v>2840</v>
      </c>
      <c r="G388" s="26">
        <v>0</v>
      </c>
      <c r="H388" s="26">
        <v>122</v>
      </c>
      <c r="I388" s="26">
        <v>-218</v>
      </c>
      <c r="J388" s="14"/>
      <c r="K388" s="14"/>
      <c r="L388" s="14"/>
      <c r="M388" s="14"/>
      <c r="N388" s="13"/>
      <c r="O388" s="13"/>
      <c r="P388" s="13"/>
      <c r="Q388" s="13" t="str">
        <f>$A$387&amp;C388&amp;"REV"</f>
        <v>DUK2022REV</v>
      </c>
      <c r="R388" s="47">
        <f>(E388+F388)/D388</f>
        <v>1.003337041156841</v>
      </c>
      <c r="S388" s="74">
        <f>E388/($E388+$F388)</f>
        <v>0.90160753880266076</v>
      </c>
      <c r="T388" s="74">
        <f>F388/($E388+$F388)</f>
        <v>9.8392461197339243E-2</v>
      </c>
      <c r="U388" s="25">
        <f>IF(OR(ISBLANK($R388),ISBLANK(S388)),"NA",$R388*S388)</f>
        <v>0.9046162402669633</v>
      </c>
      <c r="V388" s="25">
        <f>IF(OR(ISBLANK($R388),ISBLANK(T388)),"NA",$R388*T388)</f>
        <v>9.8720800889877641E-2</v>
      </c>
      <c r="W388" s="25"/>
      <c r="X388" s="25"/>
    </row>
    <row r="389" spans="1:26" ht="12.6" x14ac:dyDescent="0.45">
      <c r="A389" s="13"/>
      <c r="B389" s="11" t="s">
        <v>107</v>
      </c>
      <c r="C389" s="12">
        <v>2021</v>
      </c>
      <c r="D389" s="23">
        <f>SUM(E389:I389)</f>
        <v>24621</v>
      </c>
      <c r="E389" s="26">
        <v>22603</v>
      </c>
      <c r="F389" s="26">
        <v>2112</v>
      </c>
      <c r="G389" s="26">
        <v>0</v>
      </c>
      <c r="H389" s="26">
        <v>113</v>
      </c>
      <c r="I389" s="26">
        <v>-207</v>
      </c>
      <c r="J389" s="14"/>
      <c r="K389" s="14"/>
      <c r="L389" s="14"/>
      <c r="M389" s="14"/>
      <c r="N389" s="13"/>
      <c r="O389" s="13"/>
      <c r="P389" s="13"/>
      <c r="Q389" s="13" t="str">
        <f t="shared" ref="Q389:Q390" si="231">$A$387&amp;C389&amp;"REV"</f>
        <v>DUK2021REV</v>
      </c>
      <c r="R389" s="47">
        <f>(E389+F389)/D389</f>
        <v>1.0038178790463426</v>
      </c>
      <c r="S389" s="74">
        <f>E389/($E389+$F389)</f>
        <v>0.91454582237507587</v>
      </c>
      <c r="T389" s="74">
        <f>F389/($E389+$F389)</f>
        <v>8.5454177624924132E-2</v>
      </c>
      <c r="U389" s="25">
        <f>IF(OR(ISBLANK($R389),ISBLANK(S389)),"NA",$R389*S389)</f>
        <v>0.91803744770724183</v>
      </c>
      <c r="V389" s="25">
        <f>IF(OR(ISBLANK($R389),ISBLANK(T389)),"NA",$R389*T389)</f>
        <v>8.5780431339100766E-2</v>
      </c>
      <c r="W389" s="25"/>
      <c r="X389" s="25"/>
    </row>
    <row r="390" spans="1:26" ht="12.6" x14ac:dyDescent="0.45">
      <c r="A390" s="13"/>
      <c r="B390" s="11"/>
      <c r="C390" s="12">
        <v>2020</v>
      </c>
      <c r="D390" s="23">
        <f t="shared" ref="D390" si="232">SUM(E390:I390)</f>
        <v>23366</v>
      </c>
      <c r="E390" s="26">
        <v>21720</v>
      </c>
      <c r="F390" s="26">
        <v>1748</v>
      </c>
      <c r="G390" s="26">
        <v>0</v>
      </c>
      <c r="H390" s="26">
        <v>99</v>
      </c>
      <c r="I390" s="26">
        <v>-201</v>
      </c>
      <c r="J390" s="14"/>
      <c r="K390" s="14"/>
      <c r="L390" s="14"/>
      <c r="M390" s="14"/>
      <c r="N390" s="13"/>
      <c r="O390" s="13"/>
      <c r="P390" s="13"/>
      <c r="Q390" s="13" t="str">
        <f t="shared" si="231"/>
        <v>DUK2020REV</v>
      </c>
      <c r="R390" s="47">
        <f>(E390+F390)/D390</f>
        <v>1.00436531712745</v>
      </c>
      <c r="S390" s="74">
        <f t="shared" ref="S390:T390" si="233">E390/($E390+$F390)</f>
        <v>0.92551559570478947</v>
      </c>
      <c r="T390" s="74">
        <f t="shared" si="233"/>
        <v>7.4484404295210499E-2</v>
      </c>
      <c r="U390" s="25">
        <f t="shared" ref="U390:V390" si="234">IF(OR(ISBLANK($R390),ISBLANK(S390)),"NA",$R390*S390)</f>
        <v>0.92955576478644175</v>
      </c>
      <c r="V390" s="25">
        <f t="shared" si="234"/>
        <v>7.4809552341008292E-2</v>
      </c>
      <c r="W390" s="25"/>
      <c r="X390" s="25"/>
    </row>
    <row r="391" spans="1:26" x14ac:dyDescent="0.4">
      <c r="A391" s="13"/>
      <c r="B391" s="11"/>
      <c r="C391" s="12"/>
      <c r="D391" s="23"/>
      <c r="E391" s="24"/>
      <c r="F391" s="24"/>
      <c r="G391" s="24"/>
      <c r="H391" s="24"/>
      <c r="I391" s="24"/>
      <c r="J391" s="14"/>
      <c r="K391" s="14"/>
      <c r="L391" s="14"/>
      <c r="M391" s="14"/>
      <c r="N391" s="13"/>
      <c r="O391" s="13"/>
      <c r="P391" s="13"/>
      <c r="Q391" s="13"/>
      <c r="R391" s="13"/>
      <c r="S391" s="13"/>
      <c r="T391" s="13"/>
      <c r="U391" s="13"/>
      <c r="V391" s="13"/>
      <c r="W391" s="13"/>
      <c r="X391" s="13"/>
      <c r="Z391" s="179"/>
    </row>
    <row r="392" spans="1:26" ht="12.6" x14ac:dyDescent="0.45">
      <c r="A392" s="13"/>
      <c r="B392" s="11"/>
      <c r="C392" s="12">
        <v>2022</v>
      </c>
      <c r="D392" s="23">
        <f>SUM(E392:I392)</f>
        <v>7335</v>
      </c>
      <c r="E392" s="24">
        <v>5576</v>
      </c>
      <c r="F392" s="24">
        <v>580</v>
      </c>
      <c r="G392" s="24">
        <v>0</v>
      </c>
      <c r="H392" s="24">
        <v>-162</v>
      </c>
      <c r="I392" s="24">
        <v>1341</v>
      </c>
      <c r="J392" s="14"/>
      <c r="K392" s="14"/>
      <c r="L392" s="14"/>
      <c r="M392" s="14"/>
      <c r="N392" s="13"/>
      <c r="O392" s="13"/>
      <c r="P392" s="13"/>
      <c r="Q392" s="13" t="str">
        <f>$A$387&amp;C392&amp;"INC"</f>
        <v>DUK2022INC</v>
      </c>
      <c r="R392" s="47">
        <f>IF((E392+F392)/D392&gt;100%,100%,(E392+F392)/D392)</f>
        <v>0.83926380368098163</v>
      </c>
      <c r="S392" s="74">
        <f>E392/($E392+$F392)</f>
        <v>0.9057829759584145</v>
      </c>
      <c r="T392" s="74">
        <f>F392/($E392+$F392)</f>
        <v>9.421702404158544E-2</v>
      </c>
      <c r="U392" s="25">
        <f>IF(OR(ISBLANK($R392),ISBLANK(S392)),"NA",$R392*S392)</f>
        <v>0.76019086571233807</v>
      </c>
      <c r="V392" s="25">
        <f>IF(OR(ISBLANK($R392),ISBLANK(T392)),"NA",$R392*T392)</f>
        <v>7.9072937968643495E-2</v>
      </c>
      <c r="W392" s="25"/>
      <c r="X392" s="25"/>
    </row>
    <row r="393" spans="1:26" ht="12.6" x14ac:dyDescent="0.45">
      <c r="A393" s="13"/>
      <c r="B393" s="11" t="s">
        <v>109</v>
      </c>
      <c r="C393" s="12">
        <v>2021</v>
      </c>
      <c r="D393" s="23">
        <f t="shared" ref="D393:D394" si="235">SUM(E393:I393)</f>
        <v>5644</v>
      </c>
      <c r="E393" s="24">
        <v>5256</v>
      </c>
      <c r="F393" s="24">
        <v>523</v>
      </c>
      <c r="G393" s="24">
        <v>0</v>
      </c>
      <c r="H393" s="24">
        <v>-297</v>
      </c>
      <c r="I393" s="24">
        <v>162</v>
      </c>
      <c r="J393" s="14"/>
      <c r="K393" s="14"/>
      <c r="L393" s="14"/>
      <c r="M393" s="14"/>
      <c r="N393" s="13"/>
      <c r="O393" s="13"/>
      <c r="P393" s="13"/>
      <c r="Q393" s="13" t="str">
        <f t="shared" ref="Q393:Q394" si="236">$A$387&amp;C393&amp;"INC"</f>
        <v>DUK2021INC</v>
      </c>
      <c r="R393" s="47">
        <f t="shared" ref="R393:R394" si="237">IF((E393+F393)/D393&gt;100%,100%,(E393+F393)/D393)</f>
        <v>1</v>
      </c>
      <c r="S393" s="74">
        <f>E393/($E393+$F393)</f>
        <v>0.90949991347984083</v>
      </c>
      <c r="T393" s="74">
        <f>F393/($E393+$F393)</f>
        <v>9.0500086520159201E-2</v>
      </c>
      <c r="U393" s="25">
        <f>IF(OR(ISBLANK($R393),ISBLANK(S393)),"NA",$R393*S393)</f>
        <v>0.90949991347984083</v>
      </c>
      <c r="V393" s="25">
        <f>IF(OR(ISBLANK($R393),ISBLANK(T393)),"NA",$R393*T393)</f>
        <v>9.0500086520159201E-2</v>
      </c>
      <c r="W393" s="25"/>
      <c r="X393" s="25"/>
    </row>
    <row r="394" spans="1:26" ht="12.6" x14ac:dyDescent="0.45">
      <c r="A394" s="13"/>
      <c r="B394" s="11"/>
      <c r="C394" s="12">
        <v>2020</v>
      </c>
      <c r="D394" s="23">
        <f t="shared" si="235"/>
        <v>4569</v>
      </c>
      <c r="E394" s="24">
        <v>3985</v>
      </c>
      <c r="F394" s="24">
        <v>481</v>
      </c>
      <c r="G394" s="24">
        <v>0</v>
      </c>
      <c r="H394" s="24">
        <v>85</v>
      </c>
      <c r="I394" s="24">
        <v>18</v>
      </c>
      <c r="J394" s="14"/>
      <c r="K394" s="14"/>
      <c r="L394" s="14"/>
      <c r="M394" s="14"/>
      <c r="N394" s="13"/>
      <c r="O394" s="13"/>
      <c r="P394" s="13"/>
      <c r="Q394" s="13" t="str">
        <f t="shared" si="236"/>
        <v>DUK2020INC</v>
      </c>
      <c r="R394" s="47">
        <f t="shared" si="237"/>
        <v>0.97745677391114028</v>
      </c>
      <c r="S394" s="74">
        <f t="shared" ref="S394:T394" si="238">E394/($E394+$F394)</f>
        <v>0.89229735781459918</v>
      </c>
      <c r="T394" s="74">
        <f t="shared" si="238"/>
        <v>0.10770264218540081</v>
      </c>
      <c r="U394" s="25">
        <f t="shared" ref="U394:V394" si="239">IF(OR(ISBLANK($R394),ISBLANK(S394)),"NA",$R394*S394)</f>
        <v>0.87218209673889247</v>
      </c>
      <c r="V394" s="25">
        <f t="shared" si="239"/>
        <v>0.10527467717224775</v>
      </c>
      <c r="W394" s="25"/>
      <c r="X394" s="25"/>
    </row>
    <row r="395" spans="1:26" x14ac:dyDescent="0.4">
      <c r="A395" s="13"/>
      <c r="B395" s="11"/>
      <c r="C395" s="12"/>
      <c r="D395" s="23"/>
      <c r="E395" s="24"/>
      <c r="F395" s="24"/>
      <c r="G395" s="24"/>
      <c r="H395" s="24"/>
      <c r="I395" s="24"/>
      <c r="J395" s="14"/>
      <c r="K395" s="14"/>
      <c r="L395" s="14"/>
      <c r="M395" s="14"/>
      <c r="N395" s="13"/>
      <c r="O395" s="13"/>
      <c r="P395" s="13"/>
      <c r="Q395" s="13"/>
      <c r="R395" s="13"/>
      <c r="S395" s="13"/>
      <c r="T395" s="13"/>
      <c r="U395" s="13"/>
      <c r="V395" s="13"/>
      <c r="W395" s="13"/>
      <c r="X395" s="13"/>
      <c r="Z395" s="179"/>
    </row>
    <row r="396" spans="1:26" ht="12.6" x14ac:dyDescent="0.45">
      <c r="A396" s="13"/>
      <c r="B396" s="11"/>
      <c r="C396" s="12">
        <v>2022</v>
      </c>
      <c r="D396" s="23">
        <f>SUM(E396:I396)</f>
        <v>169654</v>
      </c>
      <c r="E396" s="24">
        <v>152104</v>
      </c>
      <c r="F396" s="24">
        <v>16411</v>
      </c>
      <c r="G396" s="24">
        <v>0</v>
      </c>
      <c r="H396" s="24">
        <v>1139</v>
      </c>
      <c r="I396" s="24">
        <v>0</v>
      </c>
      <c r="J396" s="14"/>
      <c r="K396" s="14"/>
      <c r="L396" s="14"/>
      <c r="M396" s="14"/>
      <c r="N396" s="13"/>
      <c r="O396" s="13"/>
      <c r="P396" s="13"/>
      <c r="Q396" s="13" t="str">
        <f>$A$387&amp;C396&amp;"ASSETS"</f>
        <v>DUK2022ASSETS</v>
      </c>
      <c r="R396" s="47">
        <f>(E396+F396)/D396</f>
        <v>0.99328633571858016</v>
      </c>
      <c r="S396" s="74">
        <f t="shared" ref="S396:T398" si="240">E396/($E396+$F396)</f>
        <v>0.90261401062219981</v>
      </c>
      <c r="T396" s="74">
        <f t="shared" si="240"/>
        <v>9.73859893778002E-2</v>
      </c>
      <c r="U396" s="25">
        <f>IF(OR(ISBLANK($R396),ISBLANK(S396)),"NA",$R396*S396)</f>
        <v>0.89655416317917647</v>
      </c>
      <c r="V396" s="25">
        <f>IF(OR(ISBLANK($R396),ISBLANK(T396)),"NA",$R396*T396)</f>
        <v>9.6732172539403735E-2</v>
      </c>
      <c r="W396" s="25"/>
      <c r="X396" s="25"/>
    </row>
    <row r="397" spans="1:26" ht="12.6" x14ac:dyDescent="0.45">
      <c r="A397" s="13"/>
      <c r="B397" s="11" t="s">
        <v>110</v>
      </c>
      <c r="C397" s="12">
        <v>2021</v>
      </c>
      <c r="D397" s="23">
        <f>SUM(E397:I397)</f>
        <v>159305</v>
      </c>
      <c r="E397" s="24">
        <v>143841</v>
      </c>
      <c r="F397" s="24">
        <v>15179</v>
      </c>
      <c r="G397" s="24">
        <v>0</v>
      </c>
      <c r="H397" s="24">
        <v>285</v>
      </c>
      <c r="I397" s="24">
        <v>0</v>
      </c>
      <c r="J397" s="14"/>
      <c r="K397" s="14"/>
      <c r="L397" s="14"/>
      <c r="M397" s="14"/>
      <c r="N397" s="13"/>
      <c r="O397" s="13"/>
      <c r="P397" s="13"/>
      <c r="Q397" s="13" t="str">
        <f t="shared" ref="Q397:Q398" si="241">$A$387&amp;C397&amp;"ASSETS"</f>
        <v>DUK2021ASSETS</v>
      </c>
      <c r="R397" s="47">
        <f>(E397+F397)/D397</f>
        <v>0.99821097893976962</v>
      </c>
      <c r="S397" s="74">
        <f t="shared" si="240"/>
        <v>0.90454659791221226</v>
      </c>
      <c r="T397" s="74">
        <f t="shared" si="240"/>
        <v>9.54534020877877E-2</v>
      </c>
      <c r="U397" s="25">
        <f>IF(OR(ISBLANK($R397),ISBLANK(S397)),"NA",$R397*S397)</f>
        <v>0.90292834499858754</v>
      </c>
      <c r="V397" s="25">
        <f>IF(OR(ISBLANK($R397),ISBLANK(T397)),"NA",$R397*T397)</f>
        <v>9.5282633941182013E-2</v>
      </c>
      <c r="W397" s="25"/>
      <c r="X397" s="25"/>
    </row>
    <row r="398" spans="1:26" ht="12.6" x14ac:dyDescent="0.45">
      <c r="A398" s="13"/>
      <c r="B398" s="13"/>
      <c r="C398" s="12">
        <v>2020</v>
      </c>
      <c r="D398" s="23">
        <f t="shared" ref="D398" si="242">SUM(E398:I398)</f>
        <v>155672</v>
      </c>
      <c r="E398" s="24">
        <v>138225</v>
      </c>
      <c r="F398" s="24">
        <v>13849</v>
      </c>
      <c r="G398" s="24">
        <v>0</v>
      </c>
      <c r="H398" s="24">
        <v>3598</v>
      </c>
      <c r="I398" s="24">
        <v>0</v>
      </c>
      <c r="J398" s="14"/>
      <c r="K398" s="14"/>
      <c r="L398" s="14"/>
      <c r="M398" s="14"/>
      <c r="N398" s="13"/>
      <c r="O398" s="13"/>
      <c r="P398" s="13"/>
      <c r="Q398" s="13" t="str">
        <f t="shared" si="241"/>
        <v>DUK2020ASSETS</v>
      </c>
      <c r="R398" s="47">
        <f>(E398+F398)/D398</f>
        <v>0.97688730150573</v>
      </c>
      <c r="S398" s="74">
        <f t="shared" si="240"/>
        <v>0.90893249339137527</v>
      </c>
      <c r="T398" s="74">
        <f t="shared" si="240"/>
        <v>9.1067506608624754E-2</v>
      </c>
      <c r="U398" s="25">
        <f t="shared" ref="U398:V398" si="243">IF(OR(ISBLANK($R398),ISBLANK(S398)),"NA",$R398*S398)</f>
        <v>0.8879246107199753</v>
      </c>
      <c r="V398" s="25">
        <f t="shared" si="243"/>
        <v>8.8962690785754667E-2</v>
      </c>
      <c r="W398" s="25"/>
      <c r="X398" s="25"/>
    </row>
    <row r="399" spans="1:26" x14ac:dyDescent="0.4">
      <c r="D399" s="184"/>
      <c r="Z399" s="179"/>
    </row>
    <row r="402" spans="1:26" x14ac:dyDescent="0.4">
      <c r="A402" s="10" t="s">
        <v>44</v>
      </c>
      <c r="B402" s="11"/>
      <c r="C402" s="12"/>
      <c r="D402" s="13"/>
      <c r="E402" s="24"/>
      <c r="F402" s="24"/>
      <c r="G402" s="24"/>
      <c r="H402" s="24"/>
      <c r="I402" s="14"/>
      <c r="J402" s="14"/>
      <c r="K402" s="14"/>
      <c r="L402" s="14"/>
      <c r="M402" s="14"/>
      <c r="N402" s="13"/>
      <c r="O402" s="13"/>
      <c r="P402" s="13"/>
      <c r="Q402" s="13"/>
      <c r="R402" s="13"/>
      <c r="S402" s="13"/>
      <c r="T402" s="13"/>
      <c r="U402" s="13"/>
      <c r="V402" s="13"/>
      <c r="W402" s="13"/>
      <c r="X402" s="13"/>
    </row>
    <row r="403" spans="1:26" x14ac:dyDescent="0.4">
      <c r="A403" s="13" t="s">
        <v>170</v>
      </c>
      <c r="B403" s="13"/>
      <c r="C403" s="12"/>
      <c r="D403" s="13"/>
      <c r="E403" s="24"/>
      <c r="F403" s="24"/>
      <c r="G403" s="75"/>
      <c r="H403" s="75"/>
      <c r="I403" s="39"/>
      <c r="J403" s="39"/>
      <c r="K403" s="39"/>
      <c r="L403" s="14"/>
      <c r="M403" s="14"/>
      <c r="N403" s="13"/>
      <c r="O403" s="13"/>
      <c r="P403" s="13"/>
      <c r="Q403" s="13"/>
      <c r="R403" s="13"/>
      <c r="S403" s="13"/>
      <c r="T403" s="13"/>
      <c r="U403" s="13"/>
      <c r="V403" s="13"/>
      <c r="W403" s="13"/>
      <c r="X403" s="13"/>
    </row>
    <row r="404" spans="1:26" ht="36.9" x14ac:dyDescent="0.4">
      <c r="A404" s="10" t="s">
        <v>45</v>
      </c>
      <c r="B404" s="11"/>
      <c r="C404" s="12"/>
      <c r="D404" s="12" t="s">
        <v>96</v>
      </c>
      <c r="E404" s="40" t="s">
        <v>134</v>
      </c>
      <c r="F404" s="26" t="s">
        <v>171</v>
      </c>
      <c r="G404" s="24"/>
      <c r="H404" s="24"/>
      <c r="I404" s="14"/>
      <c r="J404" s="14"/>
      <c r="K404" s="14"/>
      <c r="L404" s="14"/>
      <c r="M404" s="14"/>
      <c r="N404" s="13"/>
      <c r="O404" s="13"/>
      <c r="P404" s="13"/>
      <c r="Q404" s="20"/>
      <c r="R404" s="21" t="s">
        <v>102</v>
      </c>
      <c r="S404" s="21" t="s">
        <v>103</v>
      </c>
      <c r="T404" s="21" t="s">
        <v>104</v>
      </c>
      <c r="U404" s="21" t="s">
        <v>105</v>
      </c>
      <c r="V404" s="21" t="s">
        <v>106</v>
      </c>
      <c r="W404" s="22"/>
      <c r="X404" s="22"/>
    </row>
    <row r="405" spans="1:26" x14ac:dyDescent="0.4">
      <c r="A405" s="13"/>
      <c r="B405" s="11"/>
      <c r="C405" s="12">
        <v>2022</v>
      </c>
      <c r="D405" s="76">
        <f>SUM(E405:F405)</f>
        <v>17220</v>
      </c>
      <c r="E405" s="77">
        <v>17172</v>
      </c>
      <c r="F405" s="77">
        <v>48</v>
      </c>
      <c r="G405" s="24"/>
      <c r="H405" s="24"/>
      <c r="I405" s="14"/>
      <c r="J405" s="14"/>
      <c r="K405" s="14"/>
      <c r="L405" s="14"/>
      <c r="M405" s="14"/>
      <c r="N405" s="13"/>
      <c r="O405" s="13"/>
      <c r="P405" s="13"/>
      <c r="Q405" s="13" t="str">
        <f>$A$404&amp;C405&amp;"REV"</f>
        <v>EIX2022REV</v>
      </c>
      <c r="R405" s="47">
        <f>E405/D405</f>
        <v>0.99721254355400701</v>
      </c>
      <c r="S405" s="48">
        <f>E405/E405</f>
        <v>1</v>
      </c>
      <c r="T405" s="48">
        <v>0</v>
      </c>
      <c r="U405" s="25">
        <f>IF(OR(ISBLANK($R405),ISBLANK(S405)),"NA",$R405*S405)</f>
        <v>0.99721254355400701</v>
      </c>
      <c r="V405" s="25">
        <f>IF(OR(ISBLANK($R405),ISBLANK(T405)),"NA",$R405*T405)</f>
        <v>0</v>
      </c>
      <c r="W405" s="25"/>
      <c r="X405" s="25"/>
    </row>
    <row r="406" spans="1:26" x14ac:dyDescent="0.4">
      <c r="A406" s="13"/>
      <c r="B406" s="11" t="s">
        <v>107</v>
      </c>
      <c r="C406" s="12">
        <v>2021</v>
      </c>
      <c r="D406" s="76">
        <f t="shared" ref="D406:D407" si="244">SUM(E406:F406)</f>
        <v>14905</v>
      </c>
      <c r="E406" s="77">
        <v>14874</v>
      </c>
      <c r="F406" s="77">
        <v>31</v>
      </c>
      <c r="G406" s="204"/>
      <c r="H406" s="204"/>
      <c r="I406" s="38"/>
      <c r="J406" s="38"/>
      <c r="K406" s="38"/>
      <c r="L406" s="38"/>
      <c r="M406" s="38"/>
      <c r="N406" s="13"/>
      <c r="O406" s="13"/>
      <c r="P406" s="13"/>
      <c r="Q406" s="13" t="str">
        <f>$A$404&amp;C406&amp;"REV"</f>
        <v>EIX2021REV</v>
      </c>
      <c r="R406" s="127">
        <f>E406/D406</f>
        <v>0.99792016101979197</v>
      </c>
      <c r="S406" s="205">
        <f>E406/E406</f>
        <v>1</v>
      </c>
      <c r="T406" s="205">
        <v>0</v>
      </c>
      <c r="U406" s="25">
        <f>IF(OR(ISBLANK($R406),ISBLANK(S406)),"NA",$R406*S406)</f>
        <v>0.99792016101979197</v>
      </c>
      <c r="V406" s="25">
        <f>IF(OR(ISBLANK($R406),ISBLANK(T406)),"NA",$R406*T406)</f>
        <v>0</v>
      </c>
      <c r="W406" s="25"/>
      <c r="X406" s="25"/>
    </row>
    <row r="407" spans="1:26" x14ac:dyDescent="0.4">
      <c r="A407" s="13"/>
      <c r="B407" s="11"/>
      <c r="C407" s="12">
        <v>2020</v>
      </c>
      <c r="D407" s="76">
        <f t="shared" si="244"/>
        <v>13578</v>
      </c>
      <c r="E407" s="77">
        <v>13546</v>
      </c>
      <c r="F407" s="77">
        <v>32</v>
      </c>
      <c r="G407" s="29"/>
      <c r="H407" s="29"/>
      <c r="I407" s="38"/>
      <c r="J407" s="38"/>
      <c r="K407" s="38"/>
      <c r="L407" s="38"/>
      <c r="M407" s="38"/>
      <c r="N407" s="13"/>
      <c r="O407" s="13"/>
      <c r="P407" s="13"/>
      <c r="Q407" s="13" t="str">
        <f>$A$404&amp;C407&amp;"REV"</f>
        <v>EIX2020REV</v>
      </c>
      <c r="R407" s="127">
        <f>E407/D407</f>
        <v>0.99764324642804536</v>
      </c>
      <c r="S407" s="205">
        <f t="shared" ref="S407" si="245">E407/E407</f>
        <v>1</v>
      </c>
      <c r="T407" s="205">
        <v>0</v>
      </c>
      <c r="U407" s="25">
        <f t="shared" ref="U407:V407" si="246">IF(OR(ISBLANK($R407),ISBLANK(S407)),"NA",$R407*S407)</f>
        <v>0.99764324642804536</v>
      </c>
      <c r="V407" s="25">
        <f t="shared" si="246"/>
        <v>0</v>
      </c>
      <c r="W407" s="25"/>
      <c r="X407" s="25"/>
    </row>
    <row r="408" spans="1:26" x14ac:dyDescent="0.4">
      <c r="A408" s="13"/>
      <c r="B408" s="11"/>
      <c r="C408" s="12"/>
      <c r="D408" s="11"/>
      <c r="E408" s="78"/>
      <c r="F408" s="78"/>
      <c r="G408" s="24"/>
      <c r="H408" s="24"/>
      <c r="I408" s="14"/>
      <c r="J408" s="14"/>
      <c r="K408" s="14"/>
      <c r="L408" s="14"/>
      <c r="M408" s="14"/>
      <c r="N408" s="13"/>
      <c r="O408" s="13"/>
      <c r="P408" s="13"/>
      <c r="Q408" s="13"/>
      <c r="R408" s="13"/>
      <c r="S408" s="13"/>
      <c r="T408" s="13"/>
      <c r="U408" s="13"/>
      <c r="V408" s="13"/>
      <c r="W408" s="13"/>
      <c r="X408" s="13"/>
      <c r="Z408" s="179"/>
    </row>
    <row r="409" spans="1:26" x14ac:dyDescent="0.4">
      <c r="A409" s="13"/>
      <c r="B409" s="11"/>
      <c r="C409" s="12">
        <v>2022</v>
      </c>
      <c r="D409" s="76">
        <f>SUM(E409:F409)</f>
        <v>1483</v>
      </c>
      <c r="E409" s="77">
        <v>1513</v>
      </c>
      <c r="F409" s="77">
        <v>-30</v>
      </c>
      <c r="G409" s="24"/>
      <c r="H409" s="24"/>
      <c r="I409" s="14"/>
      <c r="J409" s="14"/>
      <c r="K409" s="14"/>
      <c r="L409" s="14"/>
      <c r="M409" s="14"/>
      <c r="N409" s="13"/>
      <c r="O409" s="13"/>
      <c r="P409" s="13"/>
      <c r="Q409" s="13" t="str">
        <f>$A$404&amp;C409&amp;"INC"</f>
        <v>EIX2022INC</v>
      </c>
      <c r="R409" s="47">
        <f>IF(E409/D409&gt;100%,100%,E409/D409)</f>
        <v>1</v>
      </c>
      <c r="S409" s="48">
        <f>E409/E409</f>
        <v>1</v>
      </c>
      <c r="T409" s="48">
        <v>0</v>
      </c>
      <c r="U409" s="25">
        <f>IF(OR(ISBLANK($R409),ISBLANK(S409)),"NA",$R409*S409)</f>
        <v>1</v>
      </c>
      <c r="V409" s="25">
        <f>IF(OR(ISBLANK($R409),ISBLANK(T409)),"NA",$R409*T409)</f>
        <v>0</v>
      </c>
      <c r="W409" s="25"/>
      <c r="X409" s="25"/>
    </row>
    <row r="410" spans="1:26" x14ac:dyDescent="0.4">
      <c r="A410" s="13"/>
      <c r="B410" s="11" t="s">
        <v>109</v>
      </c>
      <c r="C410" s="12">
        <v>2021</v>
      </c>
      <c r="D410" s="76">
        <f t="shared" ref="D410:D411" si="247">SUM(E410:F410)</f>
        <v>1477</v>
      </c>
      <c r="E410" s="77">
        <v>1510</v>
      </c>
      <c r="F410" s="77">
        <f>1477-E410</f>
        <v>-33</v>
      </c>
      <c r="G410" s="204"/>
      <c r="H410" s="204"/>
      <c r="I410" s="38"/>
      <c r="J410" s="38"/>
      <c r="K410" s="38"/>
      <c r="L410" s="38"/>
      <c r="M410" s="38"/>
      <c r="N410" s="13"/>
      <c r="O410" s="13"/>
      <c r="P410" s="13"/>
      <c r="Q410" s="13" t="str">
        <f>$A$404&amp;C410&amp;"INC"</f>
        <v>EIX2021INC</v>
      </c>
      <c r="R410" s="127">
        <f t="shared" ref="R410" si="248">IF(E410/D410&gt;100%,100%,E410/D410)</f>
        <v>1</v>
      </c>
      <c r="S410" s="205">
        <f>E410/E410</f>
        <v>1</v>
      </c>
      <c r="T410" s="205">
        <v>0</v>
      </c>
      <c r="U410" s="25">
        <f>IF(OR(ISBLANK($R410),ISBLANK(S410)),"NA",$R410*S410)</f>
        <v>1</v>
      </c>
      <c r="V410" s="25">
        <f>IF(OR(ISBLANK($R410),ISBLANK(T410)),"NA",$R410*T410)</f>
        <v>0</v>
      </c>
      <c r="W410" s="25"/>
      <c r="X410" s="25"/>
    </row>
    <row r="411" spans="1:26" x14ac:dyDescent="0.4">
      <c r="A411" s="13"/>
      <c r="B411" s="11"/>
      <c r="C411" s="12">
        <v>2020</v>
      </c>
      <c r="D411" s="76">
        <f t="shared" si="247"/>
        <v>1217</v>
      </c>
      <c r="E411" s="77">
        <v>1178</v>
      </c>
      <c r="F411" s="77">
        <v>39</v>
      </c>
      <c r="G411" s="29"/>
      <c r="H411" s="29"/>
      <c r="I411" s="38"/>
      <c r="J411" s="38"/>
      <c r="K411" s="38"/>
      <c r="L411" s="38"/>
      <c r="M411" s="38"/>
      <c r="N411" s="13"/>
      <c r="O411" s="13"/>
      <c r="P411" s="13"/>
      <c r="Q411" s="13" t="str">
        <f>$A$404&amp;C411&amp;"INC"</f>
        <v>EIX2020INC</v>
      </c>
      <c r="R411" s="127">
        <f>ABS(E411)/ABS(D411)</f>
        <v>0.96795398520953169</v>
      </c>
      <c r="S411" s="205">
        <f t="shared" ref="S411" si="249">E411/E411</f>
        <v>1</v>
      </c>
      <c r="T411" s="205">
        <v>0</v>
      </c>
      <c r="U411" s="25">
        <f t="shared" ref="U411:V411" si="250">IF(OR(ISBLANK($R411),ISBLANK(S411)),"NA",$R411*S411)</f>
        <v>0.96795398520953169</v>
      </c>
      <c r="V411" s="25">
        <f t="shared" si="250"/>
        <v>0</v>
      </c>
      <c r="W411" s="25"/>
      <c r="X411" s="25"/>
    </row>
    <row r="412" spans="1:26" x14ac:dyDescent="0.4">
      <c r="A412" s="13"/>
      <c r="B412" s="11"/>
      <c r="C412" s="12"/>
      <c r="D412" s="79"/>
      <c r="E412" s="78"/>
      <c r="F412" s="78"/>
      <c r="G412" s="24"/>
      <c r="H412" s="24"/>
      <c r="I412" s="14"/>
      <c r="J412" s="14"/>
      <c r="K412" s="14"/>
      <c r="L412" s="14"/>
      <c r="M412" s="14"/>
      <c r="N412" s="13"/>
      <c r="O412" s="13"/>
      <c r="P412" s="13"/>
      <c r="Q412" s="13"/>
      <c r="R412" s="127"/>
      <c r="S412" s="13"/>
      <c r="T412" s="13"/>
      <c r="U412" s="13"/>
      <c r="V412" s="13"/>
      <c r="W412" s="13"/>
      <c r="X412" s="13"/>
      <c r="Z412" s="179"/>
    </row>
    <row r="413" spans="1:26" x14ac:dyDescent="0.4">
      <c r="A413" s="13"/>
      <c r="B413" s="11"/>
      <c r="C413" s="12">
        <v>2022</v>
      </c>
      <c r="D413" s="76">
        <f>SUM(E413:F413)</f>
        <v>78041</v>
      </c>
      <c r="E413" s="77">
        <v>78041</v>
      </c>
      <c r="F413" s="77">
        <v>0</v>
      </c>
      <c r="G413" s="24"/>
      <c r="H413" s="24"/>
      <c r="I413" s="14"/>
      <c r="J413" s="14"/>
      <c r="K413" s="14"/>
      <c r="L413" s="14"/>
      <c r="M413" s="14"/>
      <c r="N413" s="13"/>
      <c r="O413" s="13"/>
      <c r="P413" s="13"/>
      <c r="Q413" s="13" t="str">
        <f>$A$404&amp;C413&amp;"ASSETS"</f>
        <v>EIX2022ASSETS</v>
      </c>
      <c r="R413" s="47">
        <f>E413/D413</f>
        <v>1</v>
      </c>
      <c r="S413" s="48">
        <f>E413/E413</f>
        <v>1</v>
      </c>
      <c r="T413" s="48">
        <v>0</v>
      </c>
      <c r="U413" s="25">
        <f>IF(OR(ISBLANK($R413),ISBLANK(S413)),"NA",$R413*S413)</f>
        <v>1</v>
      </c>
      <c r="V413" s="25">
        <f>IF(OR(ISBLANK($R413),ISBLANK(T413)),"NA",$R413*T413)</f>
        <v>0</v>
      </c>
      <c r="W413" s="25"/>
      <c r="X413" s="25"/>
    </row>
    <row r="414" spans="1:26" x14ac:dyDescent="0.4">
      <c r="A414" s="13"/>
      <c r="B414" s="11" t="s">
        <v>110</v>
      </c>
      <c r="C414" s="12">
        <v>2021</v>
      </c>
      <c r="D414" s="76">
        <f t="shared" ref="D414:D415" si="251">SUM(E414:F414)</f>
        <v>74745</v>
      </c>
      <c r="E414" s="77">
        <v>74538</v>
      </c>
      <c r="F414" s="77">
        <v>207</v>
      </c>
      <c r="G414" s="204"/>
      <c r="H414" s="204"/>
      <c r="I414" s="38"/>
      <c r="J414" s="38"/>
      <c r="K414" s="38"/>
      <c r="L414" s="38"/>
      <c r="M414" s="38"/>
      <c r="N414" s="13"/>
      <c r="O414" s="13"/>
      <c r="P414" s="13"/>
      <c r="Q414" s="13" t="str">
        <f>$A$404&amp;C414&amp;"ASSETS"</f>
        <v>EIX2021ASSETS</v>
      </c>
      <c r="R414" s="127">
        <f>E414/D414</f>
        <v>0.99723058398555087</v>
      </c>
      <c r="S414" s="205">
        <f>E414/E414</f>
        <v>1</v>
      </c>
      <c r="T414" s="205">
        <v>0</v>
      </c>
      <c r="U414" s="25">
        <f>IF(OR(ISBLANK($R414),ISBLANK(S414)),"NA",$R414*S414)</f>
        <v>0.99723058398555087</v>
      </c>
      <c r="V414" s="25">
        <f>IF(OR(ISBLANK($R414),ISBLANK(T414)),"NA",$R414*T414)</f>
        <v>0</v>
      </c>
      <c r="W414" s="25"/>
      <c r="X414" s="25"/>
    </row>
    <row r="415" spans="1:26" x14ac:dyDescent="0.4">
      <c r="A415" s="13"/>
      <c r="B415" s="13"/>
      <c r="C415" s="12">
        <v>2020</v>
      </c>
      <c r="D415" s="76">
        <f t="shared" si="251"/>
        <v>69372</v>
      </c>
      <c r="E415" s="77">
        <v>69286</v>
      </c>
      <c r="F415" s="77">
        <v>86</v>
      </c>
      <c r="G415" s="29"/>
      <c r="H415" s="29"/>
      <c r="I415" s="38"/>
      <c r="J415" s="38"/>
      <c r="K415" s="38"/>
      <c r="L415" s="38"/>
      <c r="M415" s="38"/>
      <c r="N415" s="13"/>
      <c r="O415" s="13"/>
      <c r="P415" s="13"/>
      <c r="Q415" s="13" t="str">
        <f>$A$404&amp;C415&amp;"ASSETS"</f>
        <v>EIX2020ASSETS</v>
      </c>
      <c r="R415" s="127">
        <f>E415/D415</f>
        <v>0.99876030675200367</v>
      </c>
      <c r="S415" s="205">
        <f t="shared" ref="S415" si="252">E415/E415</f>
        <v>1</v>
      </c>
      <c r="T415" s="205">
        <v>0</v>
      </c>
      <c r="U415" s="25">
        <f t="shared" ref="U415:V415" si="253">IF(OR(ISBLANK($R415),ISBLANK(S415)),"NA",$R415*S415)</f>
        <v>0.99876030675200367</v>
      </c>
      <c r="V415" s="25">
        <f t="shared" si="253"/>
        <v>0</v>
      </c>
      <c r="W415" s="25"/>
      <c r="X415" s="25"/>
    </row>
    <row r="416" spans="1:26" x14ac:dyDescent="0.4">
      <c r="D416" s="184"/>
    </row>
    <row r="419" spans="1:24" x14ac:dyDescent="0.4">
      <c r="A419" s="10" t="s">
        <v>46</v>
      </c>
      <c r="B419" s="11"/>
      <c r="C419" s="12"/>
      <c r="D419" s="13"/>
      <c r="E419" s="24"/>
      <c r="F419" s="24"/>
      <c r="G419" s="24"/>
      <c r="H419" s="24"/>
    </row>
    <row r="420" spans="1:24" x14ac:dyDescent="0.4">
      <c r="A420" s="13" t="s">
        <v>458</v>
      </c>
      <c r="B420" s="11"/>
      <c r="C420" s="12"/>
      <c r="D420" s="13"/>
      <c r="E420" s="24"/>
      <c r="F420" s="24"/>
      <c r="G420" s="24"/>
      <c r="H420" s="24"/>
    </row>
    <row r="421" spans="1:24" ht="36.9" x14ac:dyDescent="0.4">
      <c r="A421" s="10" t="s">
        <v>47</v>
      </c>
      <c r="B421" s="11"/>
      <c r="C421" s="12"/>
      <c r="D421" s="12" t="s">
        <v>96</v>
      </c>
      <c r="E421" s="26" t="s">
        <v>111</v>
      </c>
      <c r="F421" s="26" t="s">
        <v>172</v>
      </c>
      <c r="G421" s="26" t="s">
        <v>173</v>
      </c>
      <c r="H421" s="26" t="s">
        <v>101</v>
      </c>
      <c r="I421" s="70"/>
      <c r="Q421" s="206"/>
      <c r="R421" s="21" t="s">
        <v>102</v>
      </c>
      <c r="S421" s="176" t="s">
        <v>103</v>
      </c>
      <c r="T421" s="176" t="s">
        <v>104</v>
      </c>
      <c r="U421" s="176" t="s">
        <v>105</v>
      </c>
      <c r="V421" s="176" t="s">
        <v>106</v>
      </c>
      <c r="W421" s="177"/>
      <c r="X421" s="177"/>
    </row>
    <row r="422" spans="1:24" ht="12.6" x14ac:dyDescent="0.45">
      <c r="A422" s="10"/>
      <c r="B422" s="11"/>
      <c r="C422" s="12">
        <v>2022</v>
      </c>
      <c r="D422" s="152">
        <f>SUM(E422:H422)</f>
        <v>13764237</v>
      </c>
      <c r="E422" s="26">
        <v>13420804</v>
      </c>
      <c r="F422" s="26">
        <v>343461</v>
      </c>
      <c r="G422" s="26">
        <v>0</v>
      </c>
      <c r="H422" s="26">
        <v>-28</v>
      </c>
      <c r="Q422" s="137" t="str">
        <f>$A$421&amp;C422&amp;"REV"</f>
        <v>ETR2022REV</v>
      </c>
      <c r="R422" s="47">
        <f>E422/D422</f>
        <v>0.97504888937904799</v>
      </c>
      <c r="S422" s="131">
        <v>0.98306630931411187</v>
      </c>
      <c r="T422" s="131">
        <v>1.6933690685888174E-2</v>
      </c>
      <c r="U422" s="178">
        <f>IF(OR(ISBLANK($R422),ISBLANK(S422)),"NA",$R422*S422)</f>
        <v>0.95853771308268443</v>
      </c>
      <c r="V422" s="178">
        <f>IF(OR(ISBLANK($R422),ISBLANK(T422)),"NA",$R422*T422)</f>
        <v>1.6511176296363592E-2</v>
      </c>
      <c r="W422" s="178"/>
      <c r="X422" s="178"/>
    </row>
    <row r="423" spans="1:24" ht="12.6" x14ac:dyDescent="0.45">
      <c r="A423" s="13"/>
      <c r="B423" s="11" t="s">
        <v>107</v>
      </c>
      <c r="C423" s="12">
        <v>2021</v>
      </c>
      <c r="D423" s="23">
        <f>SUM(E423:H423)</f>
        <v>11742896</v>
      </c>
      <c r="E423" s="26">
        <v>11044674</v>
      </c>
      <c r="F423" s="26">
        <v>698164</v>
      </c>
      <c r="G423" s="26">
        <v>87</v>
      </c>
      <c r="H423" s="26">
        <v>-29</v>
      </c>
      <c r="Q423" s="137" t="str">
        <f>$A$421&amp;C423&amp;"REV"</f>
        <v>ETR2021REV</v>
      </c>
      <c r="R423" s="47">
        <f t="shared" ref="R423:R424" si="254">E423/D423</f>
        <v>0.94054090234640586</v>
      </c>
      <c r="S423" s="131">
        <v>0.98501030002214796</v>
      </c>
      <c r="T423" s="131">
        <v>1.4989699977852057E-2</v>
      </c>
      <c r="U423" s="178">
        <f t="shared" ref="U423:V424" si="255">IF(OR(ISBLANK($R423),ISBLANK(S423)),"NA",$R423*S423)</f>
        <v>0.92644247640333499</v>
      </c>
      <c r="V423" s="178">
        <f t="shared" si="255"/>
        <v>1.4098425943070873E-2</v>
      </c>
      <c r="W423" s="178"/>
      <c r="X423" s="178"/>
    </row>
    <row r="424" spans="1:24" ht="12.6" x14ac:dyDescent="0.45">
      <c r="A424" s="13"/>
      <c r="B424" s="11"/>
      <c r="C424" s="12">
        <v>2020</v>
      </c>
      <c r="D424" s="23">
        <f t="shared" ref="D424" si="256">SUM(E424:H424)</f>
        <v>10113636</v>
      </c>
      <c r="E424" s="26">
        <v>9170714</v>
      </c>
      <c r="F424" s="26">
        <v>942869</v>
      </c>
      <c r="G424" s="26">
        <v>78</v>
      </c>
      <c r="H424" s="26">
        <v>-25</v>
      </c>
      <c r="Q424" s="137" t="str">
        <f>$A$421&amp;C424&amp;"REV"</f>
        <v>ETR2020REV</v>
      </c>
      <c r="R424" s="47">
        <f t="shared" si="254"/>
        <v>0.90676725956915993</v>
      </c>
      <c r="S424" s="131">
        <v>0.98691191748293261</v>
      </c>
      <c r="T424" s="131">
        <v>1.3088082517067379E-2</v>
      </c>
      <c r="U424" s="178">
        <f t="shared" si="255"/>
        <v>0.89489941485214375</v>
      </c>
      <c r="V424" s="178">
        <f t="shared" si="255"/>
        <v>1.1867844717016221E-2</v>
      </c>
      <c r="W424" s="178"/>
      <c r="X424" s="178"/>
    </row>
    <row r="425" spans="1:24" ht="12.6" x14ac:dyDescent="0.45">
      <c r="A425" s="13"/>
      <c r="B425" s="11"/>
      <c r="C425" s="12"/>
      <c r="D425" s="23"/>
      <c r="E425" s="24"/>
      <c r="F425" s="24"/>
      <c r="G425" s="24"/>
      <c r="H425" s="24"/>
      <c r="R425" s="80"/>
    </row>
    <row r="426" spans="1:24" ht="12.6" x14ac:dyDescent="0.45">
      <c r="A426" s="13"/>
      <c r="B426" s="11"/>
      <c r="C426" s="12">
        <v>2022</v>
      </c>
      <c r="D426" s="23">
        <f>SUM(E426:H426)</f>
        <v>2054144</v>
      </c>
      <c r="E426" s="24">
        <f>-34263+1398580+750175-145968</f>
        <v>1968524</v>
      </c>
      <c r="F426" s="24">
        <f>64822+54465+7714+42563</f>
        <v>169564</v>
      </c>
      <c r="G426" s="24">
        <f>-180247-59180+161160-5677</f>
        <v>-83944</v>
      </c>
      <c r="H426" s="24">
        <f>-186017+0-6812+192829</f>
        <v>0</v>
      </c>
      <c r="Q426" s="137" t="str">
        <f>$A$421&amp;C426&amp;"INC"</f>
        <v>ETR2022INC</v>
      </c>
      <c r="R426" s="47">
        <f>IF(E426/D426&gt;100%,100%, E426/D426)</f>
        <v>0.95831840416251246</v>
      </c>
      <c r="S426" s="131">
        <v>0.99183217080646791</v>
      </c>
      <c r="T426" s="131">
        <v>8.1678291935320477E-3</v>
      </c>
      <c r="U426" s="178">
        <f>IF(OR(ISBLANK($R426),ISBLANK(S426)),"NA",$R426*S426)</f>
        <v>0.95049102312429479</v>
      </c>
      <c r="V426" s="178">
        <f>IF(OR(ISBLANK($R426),ISBLANK(T426)),"NA",$R426*T426)</f>
        <v>7.8273810382176127E-3</v>
      </c>
      <c r="W426" s="178"/>
      <c r="X426" s="178"/>
    </row>
    <row r="427" spans="1:24" ht="12.6" x14ac:dyDescent="0.45">
      <c r="A427" s="13"/>
      <c r="B427" s="11" t="s">
        <v>109</v>
      </c>
      <c r="C427" s="12">
        <v>2021</v>
      </c>
      <c r="D427" s="23">
        <f>SUM(E427:H427)</f>
        <v>1714321</v>
      </c>
      <c r="E427" s="24">
        <f>1488487+264209+692004-442817</f>
        <v>2001883</v>
      </c>
      <c r="F427" s="24">
        <f>-120689-25381+13334-118597</f>
        <v>-251333</v>
      </c>
      <c r="G427" s="24">
        <f>-121457-47454+143614-10932</f>
        <v>-36229</v>
      </c>
      <c r="H427" s="24">
        <f>-127622+0-14258+141880</f>
        <v>0</v>
      </c>
      <c r="Q427" s="137" t="str">
        <f>$A$421&amp;C427&amp;"INC"</f>
        <v>ETR2021INC</v>
      </c>
      <c r="R427" s="47">
        <f t="shared" ref="R427:R428" si="257">IF(E427/D427&gt;100%,100%, E427/D427)</f>
        <v>1</v>
      </c>
      <c r="S427" s="131">
        <v>0.99509378153302597</v>
      </c>
      <c r="T427" s="131">
        <v>4.9062184669740353E-3</v>
      </c>
      <c r="U427" s="178">
        <f t="shared" ref="U427:V428" si="258">IF(OR(ISBLANK($R427),ISBLANK(S427)),"NA",$R427*S427)</f>
        <v>0.99509378153302597</v>
      </c>
      <c r="V427" s="178">
        <f t="shared" si="258"/>
        <v>4.9062184669740353E-3</v>
      </c>
      <c r="W427" s="178"/>
      <c r="X427" s="178"/>
    </row>
    <row r="428" spans="1:24" ht="12.6" x14ac:dyDescent="0.45">
      <c r="A428" s="13"/>
      <c r="B428" s="11"/>
      <c r="C428" s="12">
        <v>2020</v>
      </c>
      <c r="D428" s="23">
        <f t="shared" ref="D428" si="259">SUM(E428:H428)</f>
        <v>1677992</v>
      </c>
      <c r="E428" s="24">
        <f>1816354+-282311+648851-299004</f>
        <v>1883890</v>
      </c>
      <c r="F428" s="24">
        <f>-62763+104937+22432-234194</f>
        <v>-169588</v>
      </c>
      <c r="G428" s="24">
        <f>-219344+55868+146730-19563</f>
        <v>-36309</v>
      </c>
      <c r="H428" s="24">
        <f>-127594+0+-32350+159943</f>
        <v>-1</v>
      </c>
      <c r="Q428" s="137" t="str">
        <f>$A$421&amp;C428&amp;"INC"</f>
        <v>ETR2020INC</v>
      </c>
      <c r="R428" s="47">
        <f t="shared" si="257"/>
        <v>1</v>
      </c>
      <c r="S428" s="131">
        <v>0.99693039767921787</v>
      </c>
      <c r="T428" s="131">
        <v>3.0696023207821646E-3</v>
      </c>
      <c r="U428" s="178">
        <f t="shared" si="258"/>
        <v>0.99693039767921787</v>
      </c>
      <c r="V428" s="178">
        <f t="shared" si="258"/>
        <v>3.0696023207821646E-3</v>
      </c>
      <c r="W428" s="178"/>
      <c r="X428" s="178"/>
    </row>
    <row r="429" spans="1:24" x14ac:dyDescent="0.4">
      <c r="A429" s="13"/>
      <c r="B429" s="11"/>
      <c r="C429" s="12"/>
      <c r="D429" s="23"/>
      <c r="E429" s="24"/>
      <c r="F429" s="24"/>
      <c r="G429" s="24"/>
      <c r="H429" s="24"/>
      <c r="R429" s="13"/>
    </row>
    <row r="430" spans="1:24" ht="12.6" x14ac:dyDescent="0.45">
      <c r="A430" s="13"/>
      <c r="B430" s="11"/>
      <c r="C430" s="12">
        <v>2022</v>
      </c>
      <c r="D430" s="23">
        <f>SUM(E430:H430)</f>
        <v>58595191</v>
      </c>
      <c r="E430" s="24">
        <v>61399243</v>
      </c>
      <c r="F430" s="24">
        <v>394462</v>
      </c>
      <c r="G430" s="24">
        <v>565803</v>
      </c>
      <c r="H430" s="24">
        <v>-3764317</v>
      </c>
      <c r="Q430" s="137" t="str">
        <f>$A$421&amp;C430&amp;"ASSETS"</f>
        <v>ETR2022ASSETS</v>
      </c>
      <c r="R430" s="47">
        <f>E430/D430</f>
        <v>1.047854643907552</v>
      </c>
      <c r="S430" s="131">
        <v>0.98955709328444763</v>
      </c>
      <c r="T430" s="131">
        <v>1.0442906715552421E-2</v>
      </c>
      <c r="U430" s="178">
        <f>IF(OR(ISBLANK($R430),ISBLANK(S430)),"NA",$R430*S430)</f>
        <v>1.036911995609767</v>
      </c>
      <c r="V430" s="178">
        <f>IF(OR(ISBLANK($R430),ISBLANK(T430)),"NA",$R430*T430)</f>
        <v>1.0942648297784966E-2</v>
      </c>
      <c r="W430" s="178"/>
      <c r="X430" s="178"/>
    </row>
    <row r="431" spans="1:24" ht="12.6" x14ac:dyDescent="0.45">
      <c r="A431" s="13"/>
      <c r="B431" s="11" t="s">
        <v>110</v>
      </c>
      <c r="C431" s="12">
        <v>2021</v>
      </c>
      <c r="D431" s="23">
        <f>SUM(E431:H431)</f>
        <v>59454242</v>
      </c>
      <c r="E431" s="24">
        <v>59733625</v>
      </c>
      <c r="F431" s="24">
        <v>1242675</v>
      </c>
      <c r="G431" s="24">
        <v>561168</v>
      </c>
      <c r="H431" s="24">
        <v>-2083226</v>
      </c>
      <c r="Q431" s="137" t="str">
        <f>$A$421&amp;C431&amp;"ASSETS"</f>
        <v>ETR2021ASSETS</v>
      </c>
      <c r="R431" s="47">
        <f t="shared" ref="R431:R432" si="260">E431/D431</f>
        <v>1.0046991264307095</v>
      </c>
      <c r="S431" s="131">
        <v>0.99021486735876063</v>
      </c>
      <c r="T431" s="131">
        <v>9.7851326412393552E-3</v>
      </c>
      <c r="U431" s="178">
        <f t="shared" ref="U431:V432" si="261">IF(OR(ISBLANK($R431),ISBLANK(S431)),"NA",$R431*S431)</f>
        <v>0.99486801221404764</v>
      </c>
      <c r="V431" s="178">
        <f t="shared" si="261"/>
        <v>9.8311142166618015E-3</v>
      </c>
      <c r="W431" s="178"/>
      <c r="X431" s="178"/>
    </row>
    <row r="432" spans="1:24" ht="12.6" x14ac:dyDescent="0.45">
      <c r="A432" s="13"/>
      <c r="B432" s="13"/>
      <c r="C432" s="12">
        <v>2020</v>
      </c>
      <c r="D432" s="23">
        <f>SUM(E432:H432)</f>
        <v>58239212</v>
      </c>
      <c r="E432" s="24">
        <v>55940153</v>
      </c>
      <c r="F432" s="24">
        <v>3800378</v>
      </c>
      <c r="G432" s="24">
        <v>552632</v>
      </c>
      <c r="H432" s="24">
        <v>-2053951</v>
      </c>
      <c r="Q432" s="137" t="str">
        <f>$A$421&amp;C432&amp;"ASSETS"</f>
        <v>ETR2020ASSETS</v>
      </c>
      <c r="R432" s="47">
        <f t="shared" si="260"/>
        <v>0.96052386491767783</v>
      </c>
      <c r="S432" s="131">
        <v>0.99011826425410776</v>
      </c>
      <c r="T432" s="131">
        <v>9.8817357458922065E-3</v>
      </c>
      <c r="U432" s="178">
        <f t="shared" si="261"/>
        <v>0.95103222190693826</v>
      </c>
      <c r="V432" s="178">
        <f t="shared" si="261"/>
        <v>9.4916430107395543E-3</v>
      </c>
      <c r="W432" s="178"/>
      <c r="X432" s="178"/>
    </row>
    <row r="433" spans="1:26" x14ac:dyDescent="0.4">
      <c r="D433" s="184"/>
    </row>
    <row r="436" spans="1:26" x14ac:dyDescent="0.4">
      <c r="A436" s="10" t="s">
        <v>48</v>
      </c>
      <c r="B436" s="11"/>
      <c r="C436" s="12"/>
      <c r="D436" s="13"/>
      <c r="E436" s="24"/>
      <c r="F436" s="24"/>
      <c r="G436" s="24"/>
      <c r="H436" s="24"/>
      <c r="I436" s="24"/>
      <c r="J436" s="14"/>
      <c r="K436" s="14"/>
      <c r="L436" s="14"/>
      <c r="M436" s="14"/>
      <c r="N436" s="13"/>
      <c r="O436" s="13"/>
      <c r="P436" s="13"/>
      <c r="Q436" s="13"/>
      <c r="R436" s="13"/>
      <c r="S436" s="13"/>
      <c r="T436" s="13"/>
      <c r="U436" s="13"/>
      <c r="V436" s="13"/>
      <c r="W436" s="13"/>
      <c r="X436" s="13"/>
    </row>
    <row r="437" spans="1:26" x14ac:dyDescent="0.4">
      <c r="A437" s="15" t="s">
        <v>459</v>
      </c>
      <c r="B437" s="11"/>
      <c r="C437" s="12"/>
      <c r="D437" s="13"/>
      <c r="E437" s="24"/>
      <c r="F437" s="24"/>
      <c r="G437" s="24"/>
      <c r="H437" s="24"/>
      <c r="I437" s="24"/>
      <c r="J437" s="14"/>
      <c r="K437" s="14"/>
      <c r="L437" s="14"/>
      <c r="M437" s="14"/>
      <c r="N437" s="13"/>
      <c r="O437" s="13"/>
      <c r="P437" s="13"/>
      <c r="Q437" s="13"/>
      <c r="R437" s="13"/>
      <c r="S437" s="13"/>
      <c r="T437" s="13"/>
      <c r="U437" s="13"/>
      <c r="V437" s="13"/>
      <c r="W437" s="13"/>
      <c r="X437" s="13"/>
    </row>
    <row r="438" spans="1:26" ht="36.9" x14ac:dyDescent="0.4">
      <c r="A438" s="10" t="s">
        <v>49</v>
      </c>
      <c r="B438" s="11"/>
      <c r="C438" s="12"/>
      <c r="D438" s="22" t="s">
        <v>96</v>
      </c>
      <c r="E438" s="26" t="s">
        <v>174</v>
      </c>
      <c r="F438" s="26" t="s">
        <v>175</v>
      </c>
      <c r="G438" s="26" t="s">
        <v>176</v>
      </c>
      <c r="H438" s="42" t="s">
        <v>177</v>
      </c>
      <c r="I438" s="26" t="s">
        <v>130</v>
      </c>
      <c r="J438" s="26" t="s">
        <v>101</v>
      </c>
      <c r="K438" s="14"/>
      <c r="L438" s="14"/>
      <c r="M438" s="14"/>
      <c r="N438" s="13"/>
      <c r="O438" s="13"/>
      <c r="P438" s="13"/>
      <c r="Q438" s="20"/>
      <c r="R438" s="21" t="s">
        <v>102</v>
      </c>
      <c r="S438" s="21" t="s">
        <v>103</v>
      </c>
      <c r="T438" s="21" t="s">
        <v>104</v>
      </c>
      <c r="U438" s="21" t="s">
        <v>105</v>
      </c>
      <c r="V438" s="21" t="s">
        <v>106</v>
      </c>
      <c r="W438" s="22"/>
      <c r="X438" s="22"/>
    </row>
    <row r="439" spans="1:26" x14ac:dyDescent="0.4">
      <c r="A439" s="10"/>
      <c r="B439" s="11"/>
      <c r="C439" s="12">
        <v>2022</v>
      </c>
      <c r="D439" s="207">
        <f>SUM(E439:J439)</f>
        <v>12289.3</v>
      </c>
      <c r="E439" s="26">
        <v>9405.2999999999993</v>
      </c>
      <c r="F439" s="26">
        <v>2215.6</v>
      </c>
      <c r="G439" s="26">
        <v>1808.7</v>
      </c>
      <c r="H439" s="42">
        <v>222.5</v>
      </c>
      <c r="I439" s="26">
        <v>1435.5</v>
      </c>
      <c r="J439" s="26">
        <v>-2798.3</v>
      </c>
      <c r="K439" s="14"/>
      <c r="L439" s="14"/>
      <c r="M439" s="14"/>
      <c r="N439" s="13"/>
      <c r="O439" s="13"/>
      <c r="P439" s="13"/>
      <c r="Q439" s="13" t="str">
        <f>$A$438&amp;C439&amp;"REV"</f>
        <v>ES2022REV</v>
      </c>
      <c r="R439" s="47">
        <f>IF(SUM(E439:G439)/D439&gt;100%,100%,SUM(E439:G439)/D439)</f>
        <v>1</v>
      </c>
      <c r="S439" s="47">
        <f>SUM(E439,G439)/SUM(E439:G439)</f>
        <v>0.83502114731637578</v>
      </c>
      <c r="T439" s="47">
        <f>F439/SUM(E439:G439)</f>
        <v>0.16497885268362422</v>
      </c>
      <c r="U439" s="25">
        <f t="shared" ref="U439:V441" si="262">IF(OR(ISBLANK($R439),ISBLANK(S439)),"NA",$R439*S439)</f>
        <v>0.83502114731637578</v>
      </c>
      <c r="V439" s="25">
        <f t="shared" si="262"/>
        <v>0.16497885268362422</v>
      </c>
      <c r="W439" s="25"/>
      <c r="X439" s="25"/>
    </row>
    <row r="440" spans="1:26" x14ac:dyDescent="0.4">
      <c r="A440" s="13"/>
      <c r="B440" s="11" t="s">
        <v>107</v>
      </c>
      <c r="C440" s="12">
        <v>2021</v>
      </c>
      <c r="D440" s="23">
        <f>SUM(E440:J440)</f>
        <v>9863.1</v>
      </c>
      <c r="E440" s="26">
        <v>7423.6</v>
      </c>
      <c r="F440" s="26">
        <v>1789.6</v>
      </c>
      <c r="G440" s="26">
        <v>1634.6</v>
      </c>
      <c r="H440" s="42">
        <v>211.3</v>
      </c>
      <c r="I440" s="26">
        <v>1354</v>
      </c>
      <c r="J440" s="26">
        <v>-2550</v>
      </c>
      <c r="K440" s="14"/>
      <c r="L440" s="14"/>
      <c r="M440" s="14"/>
      <c r="N440" s="13"/>
      <c r="O440" s="13"/>
      <c r="P440" s="13"/>
      <c r="Q440" s="13" t="str">
        <f t="shared" ref="Q440:Q441" si="263">$A$438&amp;C440&amp;"REV"</f>
        <v>ES2021REV</v>
      </c>
      <c r="R440" s="47">
        <f t="shared" ref="R440:R441" si="264">IF(SUM(E440:G440)/D440&gt;100%,100%,SUM(E440:G440)/D440)</f>
        <v>1</v>
      </c>
      <c r="S440" s="47">
        <f>SUM(E440,G440)/SUM(E440:G440)</f>
        <v>0.83502645697745159</v>
      </c>
      <c r="T440" s="47">
        <f>F440/SUM(E440:G440)</f>
        <v>0.16497354302254832</v>
      </c>
      <c r="U440" s="25">
        <f t="shared" si="262"/>
        <v>0.83502645697745159</v>
      </c>
      <c r="V440" s="25">
        <f t="shared" si="262"/>
        <v>0.16497354302254832</v>
      </c>
      <c r="W440" s="25"/>
      <c r="X440" s="25"/>
    </row>
    <row r="441" spans="1:26" x14ac:dyDescent="0.4">
      <c r="A441" s="13"/>
      <c r="B441" s="11"/>
      <c r="C441" s="12">
        <v>2020</v>
      </c>
      <c r="D441" s="23">
        <f t="shared" ref="D441" si="265">SUM(E441:J441)</f>
        <v>8904.4</v>
      </c>
      <c r="E441" s="26">
        <v>7132.3</v>
      </c>
      <c r="F441" s="26">
        <v>1208.7</v>
      </c>
      <c r="G441" s="26">
        <v>1536.1</v>
      </c>
      <c r="H441" s="42">
        <v>215.4</v>
      </c>
      <c r="I441" s="26">
        <v>1235.9000000000001</v>
      </c>
      <c r="J441" s="26">
        <v>-2424</v>
      </c>
      <c r="K441" s="14"/>
      <c r="L441" s="14"/>
      <c r="M441" s="14"/>
      <c r="N441" s="13"/>
      <c r="O441" s="13"/>
      <c r="P441" s="13"/>
      <c r="Q441" s="13" t="str">
        <f t="shared" si="263"/>
        <v>ES2020REV</v>
      </c>
      <c r="R441" s="47">
        <f t="shared" si="264"/>
        <v>1</v>
      </c>
      <c r="S441" s="47">
        <f>SUM(E441,G441)/SUM(E441:G441)</f>
        <v>0.87762602383290633</v>
      </c>
      <c r="T441" s="47">
        <f>F441/SUM(E441:G441)</f>
        <v>0.12237397616709358</v>
      </c>
      <c r="U441" s="25">
        <f t="shared" si="262"/>
        <v>0.87762602383290633</v>
      </c>
      <c r="V441" s="25">
        <f t="shared" si="262"/>
        <v>0.12237397616709358</v>
      </c>
      <c r="W441" s="25"/>
      <c r="X441" s="25"/>
    </row>
    <row r="442" spans="1:26" x14ac:dyDescent="0.4">
      <c r="A442" s="13"/>
      <c r="B442" s="11"/>
      <c r="C442" s="12"/>
      <c r="D442" s="13"/>
      <c r="E442" s="24"/>
      <c r="F442" s="24"/>
      <c r="G442" s="24"/>
      <c r="H442" s="26"/>
      <c r="I442" s="24"/>
      <c r="J442" s="24"/>
      <c r="K442" s="14"/>
      <c r="L442" s="14"/>
      <c r="M442" s="14"/>
      <c r="N442" s="13"/>
      <c r="O442" s="13"/>
      <c r="P442" s="13"/>
      <c r="Q442" s="13"/>
      <c r="R442" s="13"/>
      <c r="S442" s="13"/>
      <c r="T442" s="13"/>
      <c r="U442" s="13"/>
      <c r="V442" s="13"/>
      <c r="W442" s="13"/>
      <c r="X442" s="13"/>
      <c r="Z442" s="179"/>
    </row>
    <row r="443" spans="1:26" x14ac:dyDescent="0.4">
      <c r="A443" s="13"/>
      <c r="B443" s="11"/>
      <c r="C443" s="12">
        <v>2022</v>
      </c>
      <c r="D443" s="45">
        <f>SUM(E443:J443)</f>
        <v>2198.2000000000003</v>
      </c>
      <c r="E443" s="24">
        <v>771.2</v>
      </c>
      <c r="F443" s="24">
        <v>331</v>
      </c>
      <c r="G443" s="24">
        <v>922.9</v>
      </c>
      <c r="H443" s="26">
        <v>59.8</v>
      </c>
      <c r="I443" s="24">
        <v>113.8</v>
      </c>
      <c r="J443" s="24">
        <v>-0.5</v>
      </c>
      <c r="K443" s="14"/>
      <c r="L443" s="14"/>
      <c r="M443" s="14"/>
      <c r="N443" s="13"/>
      <c r="O443" s="13"/>
      <c r="P443" s="13"/>
      <c r="Q443" s="13" t="str">
        <f>$A$438&amp;C443&amp;"INC"</f>
        <v>ES2022INC</v>
      </c>
      <c r="R443" s="47">
        <f>SUM(E443:G443)/D443</f>
        <v>0.92125375307069401</v>
      </c>
      <c r="S443" s="47">
        <f>SUM(E443,G443)/SUM(E443:G443)</f>
        <v>0.83655128141820156</v>
      </c>
      <c r="T443" s="47">
        <f>F443/SUM(E443:G443)</f>
        <v>0.16344871858179844</v>
      </c>
      <c r="U443" s="25">
        <f t="shared" ref="U443:V445" si="266">IF(OR(ISBLANK($R443),ISBLANK(S443)),"NA",$R443*S443)</f>
        <v>0.77067600764261657</v>
      </c>
      <c r="V443" s="25">
        <f t="shared" si="266"/>
        <v>0.1505777454280775</v>
      </c>
      <c r="W443" s="25"/>
      <c r="X443" s="25"/>
    </row>
    <row r="444" spans="1:26" x14ac:dyDescent="0.4">
      <c r="A444" s="13"/>
      <c r="B444" s="11" t="s">
        <v>109</v>
      </c>
      <c r="C444" s="12">
        <v>2021</v>
      </c>
      <c r="D444" s="23">
        <f>SUM(E444:J444)</f>
        <v>1993.3</v>
      </c>
      <c r="E444" s="24">
        <v>715.8</v>
      </c>
      <c r="F444" s="24">
        <v>301.89999999999998</v>
      </c>
      <c r="G444" s="24">
        <v>838.1</v>
      </c>
      <c r="H444" s="26">
        <v>63.8</v>
      </c>
      <c r="I444" s="24">
        <v>70.5</v>
      </c>
      <c r="J444" s="24">
        <v>3.2</v>
      </c>
      <c r="K444" s="14"/>
      <c r="L444" s="14"/>
      <c r="M444" s="14"/>
      <c r="N444" s="13"/>
      <c r="O444" s="13"/>
      <c r="P444" s="13"/>
      <c r="Q444" s="13" t="str">
        <f t="shared" ref="Q444:Q445" si="267">$A$438&amp;C444&amp;"INC"</f>
        <v>ES2021INC</v>
      </c>
      <c r="R444" s="47">
        <f>SUM(E444:G444)/D444</f>
        <v>0.93101891335975517</v>
      </c>
      <c r="S444" s="47">
        <f>SUM(E444,G444)/SUM(E444:G444)</f>
        <v>0.83732083198620544</v>
      </c>
      <c r="T444" s="47">
        <f>F444/SUM(E444:G444)</f>
        <v>0.16267916801379459</v>
      </c>
      <c r="U444" s="25">
        <f t="shared" si="266"/>
        <v>0.77956153112928317</v>
      </c>
      <c r="V444" s="25">
        <f t="shared" si="266"/>
        <v>0.15145738223047209</v>
      </c>
      <c r="W444" s="25"/>
      <c r="X444" s="25"/>
    </row>
    <row r="445" spans="1:26" x14ac:dyDescent="0.4">
      <c r="A445" s="13"/>
      <c r="B445" s="11"/>
      <c r="C445" s="12">
        <v>2020</v>
      </c>
      <c r="D445" s="23">
        <f>SUM(E445:J445)</f>
        <v>1988.6999999999998</v>
      </c>
      <c r="E445" s="24">
        <v>833</v>
      </c>
      <c r="F445" s="24">
        <v>207</v>
      </c>
      <c r="G445" s="24">
        <v>788</v>
      </c>
      <c r="H445" s="26">
        <v>84.6</v>
      </c>
      <c r="I445" s="24">
        <v>70.5</v>
      </c>
      <c r="J445" s="24">
        <v>5.6</v>
      </c>
      <c r="K445" s="14"/>
      <c r="L445" s="14"/>
      <c r="M445" s="14"/>
      <c r="N445" s="13"/>
      <c r="O445" s="13"/>
      <c r="P445" s="13"/>
      <c r="Q445" s="13" t="str">
        <f t="shared" si="267"/>
        <v>ES2020INC</v>
      </c>
      <c r="R445" s="47">
        <f>SUM(E445:G445)/D445</f>
        <v>0.91919344295268279</v>
      </c>
      <c r="S445" s="47">
        <f>SUM(E445,G445)/SUM(E445:G445)</f>
        <v>0.8867614879649891</v>
      </c>
      <c r="T445" s="47">
        <f>F445/SUM(E445:G445)</f>
        <v>0.11323851203501094</v>
      </c>
      <c r="U445" s="25">
        <f t="shared" si="266"/>
        <v>0.81510534520038236</v>
      </c>
      <c r="V445" s="25">
        <f t="shared" si="266"/>
        <v>0.1040880977523005</v>
      </c>
      <c r="W445" s="25"/>
      <c r="X445" s="25"/>
    </row>
    <row r="446" spans="1:26" x14ac:dyDescent="0.4">
      <c r="A446" s="13"/>
      <c r="B446" s="11"/>
      <c r="C446" s="12"/>
      <c r="D446" s="46"/>
      <c r="E446" s="24"/>
      <c r="F446" s="24"/>
      <c r="G446" s="24"/>
      <c r="H446" s="26"/>
      <c r="I446" s="24"/>
      <c r="J446" s="24"/>
      <c r="K446" s="14"/>
      <c r="L446" s="14"/>
      <c r="M446" s="14"/>
      <c r="N446" s="13"/>
      <c r="O446" s="13"/>
      <c r="P446" s="13"/>
      <c r="Q446" s="13"/>
      <c r="R446" s="13"/>
      <c r="S446" s="13"/>
      <c r="T446" s="13"/>
      <c r="U446" s="13"/>
      <c r="V446" s="13"/>
      <c r="W446" s="13"/>
      <c r="X446" s="13"/>
      <c r="Z446" s="179"/>
    </row>
    <row r="447" spans="1:26" x14ac:dyDescent="0.4">
      <c r="A447" s="13"/>
      <c r="B447" s="11"/>
      <c r="C447" s="12">
        <v>2022</v>
      </c>
      <c r="D447" s="159">
        <f>SUM(E447:J447)</f>
        <v>53230.900000000009</v>
      </c>
      <c r="E447" s="24">
        <v>27365</v>
      </c>
      <c r="F447" s="24">
        <v>8084.9</v>
      </c>
      <c r="G447" s="24">
        <v>13369.5</v>
      </c>
      <c r="H447" s="26">
        <v>2783.8</v>
      </c>
      <c r="I447" s="24">
        <v>26365.200000000001</v>
      </c>
      <c r="J447" s="24">
        <v>-24737.5</v>
      </c>
      <c r="K447" s="14"/>
      <c r="L447" s="14"/>
      <c r="M447" s="14"/>
      <c r="N447" s="13"/>
      <c r="O447" s="13"/>
      <c r="P447" s="13"/>
      <c r="Q447" s="13" t="str">
        <f>$A$438&amp;C447&amp;"ASSETS"</f>
        <v>ES2022ASSETS</v>
      </c>
      <c r="R447" s="47">
        <f>SUM(E447:G447)/D447</f>
        <v>0.91712520359415295</v>
      </c>
      <c r="S447" s="47">
        <f>SUM(E447,G447)/SUM(E447:G447)</f>
        <v>0.83439165577618735</v>
      </c>
      <c r="T447" s="47">
        <f>F447/SUM(E447:G447)</f>
        <v>0.16560834422381265</v>
      </c>
      <c r="U447" s="25">
        <f t="shared" ref="U447:V449" si="268">IF(OR(ISBLANK($R447),ISBLANK(S447)),"NA",$R447*S447)</f>
        <v>0.76524161718099826</v>
      </c>
      <c r="V447" s="25">
        <f t="shared" si="268"/>
        <v>0.15188358641315475</v>
      </c>
      <c r="W447" s="25"/>
      <c r="X447" s="25"/>
    </row>
    <row r="448" spans="1:26" x14ac:dyDescent="0.4">
      <c r="A448" s="13"/>
      <c r="B448" s="11" t="s">
        <v>110</v>
      </c>
      <c r="C448" s="12">
        <v>2021</v>
      </c>
      <c r="D448" s="23">
        <f>SUM(E448:J448)</f>
        <v>48492.1</v>
      </c>
      <c r="E448" s="24">
        <v>25411.200000000001</v>
      </c>
      <c r="F448" s="24">
        <v>7215.9</v>
      </c>
      <c r="G448" s="24">
        <v>12377.8</v>
      </c>
      <c r="H448" s="26">
        <v>2551.1</v>
      </c>
      <c r="I448" s="24">
        <v>22674.7</v>
      </c>
      <c r="J448" s="24">
        <v>-21738.6</v>
      </c>
      <c r="K448" s="14"/>
      <c r="L448" s="14"/>
      <c r="M448" s="14"/>
      <c r="N448" s="13"/>
      <c r="O448" s="13"/>
      <c r="P448" s="13"/>
      <c r="Q448" s="13" t="str">
        <f t="shared" ref="Q448:Q449" si="269">$A$438&amp;C448&amp;"ASSETS"</f>
        <v>ES2021ASSETS</v>
      </c>
      <c r="R448" s="47">
        <f>SUM(E448:G448)/D448</f>
        <v>0.92808725544985671</v>
      </c>
      <c r="S448" s="47">
        <f>SUM(E448,G448)/SUM(E448:G448)</f>
        <v>0.83966412546189428</v>
      </c>
      <c r="T448" s="47">
        <f>F448/SUM(E448:G448)</f>
        <v>0.16033587453810585</v>
      </c>
      <c r="U448" s="25">
        <f t="shared" si="268"/>
        <v>0.77928157369963358</v>
      </c>
      <c r="V448" s="25">
        <f t="shared" si="268"/>
        <v>0.14880568175022321</v>
      </c>
      <c r="W448" s="25"/>
      <c r="X448" s="25"/>
    </row>
    <row r="449" spans="1:26" x14ac:dyDescent="0.4">
      <c r="A449" s="13"/>
      <c r="B449" s="13"/>
      <c r="C449" s="12">
        <v>2020</v>
      </c>
      <c r="D449" s="23">
        <f>SUM(E449:J449)</f>
        <v>46099.6</v>
      </c>
      <c r="E449" s="24">
        <v>24981.9</v>
      </c>
      <c r="F449" s="24">
        <v>6450.5</v>
      </c>
      <c r="G449" s="24">
        <v>11695</v>
      </c>
      <c r="H449" s="26">
        <v>2375.1999999999998</v>
      </c>
      <c r="I449" s="24">
        <v>22089.4</v>
      </c>
      <c r="J449" s="24">
        <v>-21492.400000000001</v>
      </c>
      <c r="K449" s="14"/>
      <c r="L449" s="14"/>
      <c r="M449" s="14"/>
      <c r="N449" s="13"/>
      <c r="O449" s="13"/>
      <c r="P449" s="13"/>
      <c r="Q449" s="13" t="str">
        <f t="shared" si="269"/>
        <v>ES2020ASSETS</v>
      </c>
      <c r="R449" s="47">
        <f>SUM(E449:G449)/D449</f>
        <v>0.93552655554495057</v>
      </c>
      <c r="S449" s="47">
        <f>SUM(E449,G449)/SUM(E449:G449)</f>
        <v>0.85043151221729107</v>
      </c>
      <c r="T449" s="47">
        <f>F449/SUM(E449:G449)</f>
        <v>0.1495684877827089</v>
      </c>
      <c r="U449" s="25">
        <f t="shared" si="268"/>
        <v>0.79560126335152581</v>
      </c>
      <c r="V449" s="25">
        <f t="shared" si="268"/>
        <v>0.13992529219342467</v>
      </c>
      <c r="W449" s="25"/>
      <c r="X449" s="25"/>
    </row>
    <row r="450" spans="1:26" x14ac:dyDescent="0.4">
      <c r="D450" s="180"/>
      <c r="Z450" s="179"/>
    </row>
    <row r="452" spans="1:26" x14ac:dyDescent="0.4">
      <c r="A452" s="208" t="s">
        <v>55</v>
      </c>
      <c r="B452" s="209"/>
      <c r="C452" s="210"/>
      <c r="D452" s="13"/>
      <c r="E452" s="209"/>
      <c r="F452" s="209"/>
      <c r="G452" s="209"/>
      <c r="H452" s="209"/>
      <c r="I452" s="14"/>
      <c r="J452" s="14"/>
      <c r="K452" s="14"/>
      <c r="L452" s="14"/>
      <c r="M452" s="14"/>
      <c r="N452" s="81"/>
      <c r="O452" s="81"/>
      <c r="P452" s="81"/>
      <c r="Q452" s="81"/>
      <c r="R452" s="81"/>
      <c r="S452" s="81"/>
      <c r="T452" s="81"/>
      <c r="U452" s="81"/>
      <c r="V452" s="81"/>
      <c r="W452" s="81"/>
      <c r="X452" s="81"/>
    </row>
    <row r="453" spans="1:26" x14ac:dyDescent="0.4">
      <c r="A453" s="209" t="s">
        <v>460</v>
      </c>
      <c r="B453" s="209"/>
      <c r="C453" s="210"/>
      <c r="D453" s="209"/>
      <c r="E453" s="209"/>
      <c r="F453" s="209"/>
      <c r="G453" s="209"/>
      <c r="H453" s="209"/>
      <c r="I453" s="14"/>
      <c r="J453" s="14"/>
      <c r="K453" s="14"/>
      <c r="L453" s="14"/>
      <c r="M453" s="14"/>
      <c r="N453" s="81"/>
      <c r="O453" s="81"/>
      <c r="P453" s="81"/>
      <c r="Q453" s="81"/>
      <c r="R453" s="81"/>
      <c r="S453" s="81"/>
      <c r="T453" s="81"/>
      <c r="U453" s="81"/>
      <c r="V453" s="81"/>
      <c r="W453" s="81"/>
      <c r="X453" s="81"/>
    </row>
    <row r="454" spans="1:26" ht="36.9" x14ac:dyDescent="0.4">
      <c r="A454" s="208" t="s">
        <v>56</v>
      </c>
      <c r="B454" s="209"/>
      <c r="C454" s="210"/>
      <c r="D454" s="210" t="s">
        <v>96</v>
      </c>
      <c r="E454" s="211" t="s">
        <v>178</v>
      </c>
      <c r="F454" s="210"/>
      <c r="G454" s="210"/>
      <c r="H454" s="82"/>
      <c r="I454" s="81"/>
      <c r="J454" s="81"/>
      <c r="K454" s="81"/>
      <c r="L454" s="81"/>
      <c r="M454" s="81"/>
      <c r="N454" s="81"/>
      <c r="O454" s="81"/>
      <c r="P454" s="81"/>
      <c r="Q454" s="210"/>
      <c r="R454" s="212" t="s">
        <v>102</v>
      </c>
      <c r="S454" s="177" t="s">
        <v>103</v>
      </c>
      <c r="T454" s="177" t="s">
        <v>104</v>
      </c>
      <c r="U454" s="177" t="s">
        <v>105</v>
      </c>
      <c r="V454" s="177" t="s">
        <v>106</v>
      </c>
      <c r="W454" s="177"/>
      <c r="X454" s="177"/>
    </row>
    <row r="455" spans="1:26" x14ac:dyDescent="0.4">
      <c r="C455" s="210">
        <v>2022</v>
      </c>
      <c r="D455" s="83">
        <f>SUM(E455:H455)</f>
        <v>5859.1</v>
      </c>
      <c r="E455" s="83">
        <v>5859.1</v>
      </c>
      <c r="F455" s="83"/>
      <c r="G455" s="83"/>
      <c r="H455" s="27"/>
      <c r="I455" s="81"/>
      <c r="J455" s="81"/>
      <c r="K455" s="81"/>
      <c r="L455" s="81"/>
      <c r="M455" s="81"/>
      <c r="N455" s="81"/>
      <c r="O455" s="213"/>
      <c r="P455" s="81"/>
      <c r="Q455" s="13" t="str">
        <f>$A$454&amp;C455&amp;"REV"</f>
        <v>EVRG2022REV</v>
      </c>
      <c r="R455" s="214">
        <f>E455/D455</f>
        <v>1</v>
      </c>
      <c r="S455" s="214">
        <f>E455/D455</f>
        <v>1</v>
      </c>
      <c r="T455" s="214">
        <v>0</v>
      </c>
      <c r="U455" s="213">
        <f t="shared" ref="U455:V457" si="270">IF(OR(ISBLANK($R455),ISBLANK(S455)),"NA",$R455*S455)</f>
        <v>1</v>
      </c>
      <c r="V455" s="213">
        <f t="shared" si="270"/>
        <v>0</v>
      </c>
      <c r="W455" s="213"/>
      <c r="X455" s="213"/>
    </row>
    <row r="456" spans="1:26" x14ac:dyDescent="0.4">
      <c r="B456" s="135" t="s">
        <v>107</v>
      </c>
      <c r="C456" s="210">
        <v>2021</v>
      </c>
      <c r="D456" s="184">
        <f>SUM(E456:H456)</f>
        <v>5586.7</v>
      </c>
      <c r="E456" s="83">
        <v>5586.7</v>
      </c>
      <c r="F456" s="29"/>
      <c r="G456" s="29"/>
      <c r="H456" s="27"/>
      <c r="I456" s="81"/>
      <c r="J456" s="81"/>
      <c r="K456" s="81"/>
      <c r="L456" s="81"/>
      <c r="M456" s="81"/>
      <c r="N456" s="81"/>
      <c r="O456" s="213"/>
      <c r="P456" s="81"/>
      <c r="Q456" s="13" t="str">
        <f t="shared" ref="Q456:Q457" si="271">$A$454&amp;C456&amp;"REV"</f>
        <v>EVRG2021REV</v>
      </c>
      <c r="R456" s="214">
        <f t="shared" ref="R456:R457" si="272">E456/D456</f>
        <v>1</v>
      </c>
      <c r="S456" s="214">
        <f t="shared" ref="S456:S457" si="273">E456/D456</f>
        <v>1</v>
      </c>
      <c r="T456" s="214">
        <v>0</v>
      </c>
      <c r="U456" s="213">
        <f t="shared" si="270"/>
        <v>1</v>
      </c>
      <c r="V456" s="213">
        <f t="shared" si="270"/>
        <v>0</v>
      </c>
      <c r="W456" s="213"/>
      <c r="X456" s="213"/>
    </row>
    <row r="457" spans="1:26" x14ac:dyDescent="0.4">
      <c r="C457" s="210">
        <v>2020</v>
      </c>
      <c r="D457" s="184">
        <f>SUM(E457:H457)</f>
        <v>4913.3999999999996</v>
      </c>
      <c r="E457" s="83">
        <v>4913.3999999999996</v>
      </c>
      <c r="F457" s="29"/>
      <c r="G457" s="29"/>
      <c r="H457" s="27"/>
      <c r="I457" s="81"/>
      <c r="J457" s="81"/>
      <c r="K457" s="81"/>
      <c r="L457" s="81"/>
      <c r="M457" s="81"/>
      <c r="N457" s="81"/>
      <c r="O457" s="213"/>
      <c r="P457" s="81"/>
      <c r="Q457" s="13" t="str">
        <f t="shared" si="271"/>
        <v>EVRG2020REV</v>
      </c>
      <c r="R457" s="214">
        <f t="shared" si="272"/>
        <v>1</v>
      </c>
      <c r="S457" s="214">
        <f t="shared" si="273"/>
        <v>1</v>
      </c>
      <c r="T457" s="214">
        <v>0</v>
      </c>
      <c r="U457" s="213">
        <f t="shared" si="270"/>
        <v>1</v>
      </c>
      <c r="V457" s="213">
        <f t="shared" si="270"/>
        <v>0</v>
      </c>
      <c r="W457" s="213"/>
      <c r="X457" s="213"/>
    </row>
    <row r="458" spans="1:26" x14ac:dyDescent="0.4">
      <c r="C458" s="12"/>
      <c r="E458" s="29"/>
      <c r="F458" s="29"/>
      <c r="G458" s="29"/>
      <c r="H458" s="29"/>
      <c r="I458" s="81"/>
      <c r="J458" s="81"/>
      <c r="K458" s="81"/>
      <c r="L458" s="81"/>
      <c r="M458" s="81"/>
      <c r="N458" s="81"/>
      <c r="O458" s="209"/>
      <c r="P458" s="81"/>
      <c r="Q458" s="13"/>
      <c r="R458" s="209"/>
      <c r="S458" s="214"/>
      <c r="T458" s="209"/>
      <c r="U458" s="209"/>
      <c r="V458" s="209"/>
      <c r="W458" s="209"/>
      <c r="X458" s="209"/>
    </row>
    <row r="459" spans="1:26" x14ac:dyDescent="0.4">
      <c r="C459" s="12">
        <v>2022</v>
      </c>
      <c r="D459" s="29">
        <f>SUM(E459:H459)</f>
        <v>1267.2</v>
      </c>
      <c r="E459" s="29">
        <v>1267.2</v>
      </c>
      <c r="F459" s="84"/>
      <c r="G459" s="84"/>
      <c r="H459" s="85"/>
      <c r="I459" s="81"/>
      <c r="J459" s="81"/>
      <c r="K459" s="81"/>
      <c r="L459" s="81"/>
      <c r="M459" s="81"/>
      <c r="N459" s="81"/>
      <c r="O459" s="213"/>
      <c r="P459" s="81"/>
      <c r="Q459" s="13" t="str">
        <f>$A$454&amp;C459&amp;"INC"</f>
        <v>EVRG2022INC</v>
      </c>
      <c r="R459" s="214">
        <f>E459/D459</f>
        <v>1</v>
      </c>
      <c r="S459" s="214">
        <f>E459/D459</f>
        <v>1</v>
      </c>
      <c r="T459" s="214">
        <v>0</v>
      </c>
      <c r="U459" s="213">
        <f t="shared" ref="U459:V461" si="274">IF(OR(ISBLANK($R459),ISBLANK(S459)),"NA",$R459*S459)</f>
        <v>1</v>
      </c>
      <c r="V459" s="213">
        <f t="shared" si="274"/>
        <v>0</v>
      </c>
      <c r="W459" s="213"/>
      <c r="X459" s="213"/>
    </row>
    <row r="460" spans="1:26" x14ac:dyDescent="0.4">
      <c r="B460" s="135" t="s">
        <v>109</v>
      </c>
      <c r="C460" s="12">
        <v>2021</v>
      </c>
      <c r="D460" s="184">
        <f>SUM(E460:H460)</f>
        <v>1354.9</v>
      </c>
      <c r="E460" s="29">
        <v>1354.9</v>
      </c>
      <c r="F460" s="84"/>
      <c r="G460" s="84"/>
      <c r="H460" s="85"/>
      <c r="I460" s="81"/>
      <c r="J460" s="81"/>
      <c r="K460" s="81"/>
      <c r="L460" s="81"/>
      <c r="M460" s="81"/>
      <c r="N460" s="81"/>
      <c r="O460" s="213"/>
      <c r="P460" s="81"/>
      <c r="Q460" s="13" t="str">
        <f t="shared" ref="Q460:Q461" si="275">$A$454&amp;C460&amp;"INC"</f>
        <v>EVRG2021INC</v>
      </c>
      <c r="R460" s="214">
        <f t="shared" ref="R460:R461" si="276">E460/D460</f>
        <v>1</v>
      </c>
      <c r="S460" s="214">
        <f t="shared" ref="S460:S461" si="277">E460/D460</f>
        <v>1</v>
      </c>
      <c r="T460" s="214">
        <v>0</v>
      </c>
      <c r="U460" s="213">
        <f t="shared" si="274"/>
        <v>1</v>
      </c>
      <c r="V460" s="213">
        <f t="shared" si="274"/>
        <v>0</v>
      </c>
      <c r="W460" s="213"/>
      <c r="X460" s="213"/>
    </row>
    <row r="461" spans="1:26" x14ac:dyDescent="0.4">
      <c r="C461" s="12">
        <v>2020</v>
      </c>
      <c r="D461" s="184">
        <f>SUM(E461:H461)</f>
        <v>1143.9000000000001</v>
      </c>
      <c r="E461" s="29">
        <v>1143.9000000000001</v>
      </c>
      <c r="F461" s="84"/>
      <c r="G461" s="86"/>
      <c r="H461" s="85"/>
      <c r="I461" s="81"/>
      <c r="J461" s="81"/>
      <c r="K461" s="81"/>
      <c r="L461" s="81"/>
      <c r="M461" s="81"/>
      <c r="N461" s="81"/>
      <c r="O461" s="213"/>
      <c r="P461" s="81"/>
      <c r="Q461" s="13" t="str">
        <f t="shared" si="275"/>
        <v>EVRG2020INC</v>
      </c>
      <c r="R461" s="214">
        <f t="shared" si="276"/>
        <v>1</v>
      </c>
      <c r="S461" s="214">
        <f t="shared" si="277"/>
        <v>1</v>
      </c>
      <c r="T461" s="214">
        <v>0</v>
      </c>
      <c r="U461" s="213">
        <f t="shared" si="274"/>
        <v>1</v>
      </c>
      <c r="V461" s="213">
        <f t="shared" si="274"/>
        <v>0</v>
      </c>
      <c r="W461" s="213"/>
      <c r="X461" s="213"/>
    </row>
    <row r="462" spans="1:26" x14ac:dyDescent="0.4">
      <c r="C462" s="12"/>
      <c r="D462" s="180"/>
      <c r="E462" s="29"/>
      <c r="F462" s="83"/>
      <c r="G462" s="83"/>
      <c r="H462" s="29"/>
      <c r="I462" s="81"/>
      <c r="J462" s="81"/>
      <c r="K462" s="81"/>
      <c r="L462" s="81"/>
      <c r="M462" s="81"/>
      <c r="N462" s="81"/>
      <c r="O462" s="209"/>
      <c r="P462" s="81"/>
      <c r="Q462" s="13"/>
      <c r="R462" s="209"/>
      <c r="S462" s="214"/>
      <c r="T462" s="209"/>
      <c r="U462" s="209"/>
      <c r="V462" s="209"/>
      <c r="W462" s="209"/>
      <c r="X462" s="209"/>
    </row>
    <row r="463" spans="1:26" x14ac:dyDescent="0.4">
      <c r="C463" s="12">
        <v>2022</v>
      </c>
      <c r="D463" s="180">
        <f>SUM(E463)</f>
        <v>29489.9</v>
      </c>
      <c r="E463" s="29">
        <v>29489.9</v>
      </c>
      <c r="F463" s="29"/>
      <c r="G463" s="29"/>
      <c r="H463" s="27"/>
      <c r="I463" s="81"/>
      <c r="J463" s="81"/>
      <c r="K463" s="81"/>
      <c r="L463" s="81"/>
      <c r="M463" s="81"/>
      <c r="N463" s="81"/>
      <c r="O463" s="213"/>
      <c r="P463" s="81"/>
      <c r="Q463" s="13" t="str">
        <f>$A$454&amp;C463&amp;"ASSETS"</f>
        <v>EVRG2022ASSETS</v>
      </c>
      <c r="R463" s="214">
        <f>E463/D463</f>
        <v>1</v>
      </c>
      <c r="S463" s="214">
        <f>E463/D463</f>
        <v>1</v>
      </c>
      <c r="T463" s="214">
        <v>0</v>
      </c>
      <c r="U463" s="213">
        <f t="shared" ref="U463:V465" si="278">IF(OR(ISBLANK($R463),ISBLANK(S463)),"NA",$R463*S463)</f>
        <v>1</v>
      </c>
      <c r="V463" s="213">
        <f t="shared" si="278"/>
        <v>0</v>
      </c>
      <c r="W463" s="213"/>
      <c r="X463" s="213"/>
    </row>
    <row r="464" spans="1:26" x14ac:dyDescent="0.4">
      <c r="B464" s="135" t="s">
        <v>110</v>
      </c>
      <c r="C464" s="12">
        <v>2021</v>
      </c>
      <c r="D464" s="184">
        <f>SUM(E464:H464)</f>
        <v>28520.5</v>
      </c>
      <c r="E464" s="29">
        <v>28520.5</v>
      </c>
      <c r="F464" s="29"/>
      <c r="G464" s="29"/>
      <c r="H464" s="27"/>
      <c r="I464" s="81"/>
      <c r="J464" s="81"/>
      <c r="K464" s="81"/>
      <c r="L464" s="81"/>
      <c r="M464" s="81"/>
      <c r="N464" s="81"/>
      <c r="O464" s="213"/>
      <c r="P464" s="81"/>
      <c r="Q464" s="13" t="str">
        <f t="shared" ref="Q464:Q465" si="279">$A$454&amp;C464&amp;"ASSETS"</f>
        <v>EVRG2021ASSETS</v>
      </c>
      <c r="R464" s="214">
        <f t="shared" ref="R464:R465" si="280">E464/D464</f>
        <v>1</v>
      </c>
      <c r="S464" s="214">
        <f t="shared" ref="S464:S465" si="281">E464/D464</f>
        <v>1</v>
      </c>
      <c r="T464" s="214">
        <v>0</v>
      </c>
      <c r="U464" s="213">
        <f t="shared" si="278"/>
        <v>1</v>
      </c>
      <c r="V464" s="213">
        <f t="shared" si="278"/>
        <v>0</v>
      </c>
      <c r="W464" s="213"/>
      <c r="X464" s="213"/>
    </row>
    <row r="465" spans="1:24" x14ac:dyDescent="0.4">
      <c r="C465" s="12">
        <v>2020</v>
      </c>
      <c r="D465" s="184">
        <f>SUM(E465:H465)</f>
        <v>27115</v>
      </c>
      <c r="E465" s="29">
        <v>27115</v>
      </c>
      <c r="F465" s="29"/>
      <c r="G465" s="29"/>
      <c r="H465" s="27"/>
      <c r="I465" s="81"/>
      <c r="J465" s="81"/>
      <c r="K465" s="81"/>
      <c r="L465" s="81"/>
      <c r="M465" s="81"/>
      <c r="N465" s="81"/>
      <c r="O465" s="213"/>
      <c r="P465" s="81"/>
      <c r="Q465" s="13" t="str">
        <f t="shared" si="279"/>
        <v>EVRG2020ASSETS</v>
      </c>
      <c r="R465" s="214">
        <f t="shared" si="280"/>
        <v>1</v>
      </c>
      <c r="S465" s="214">
        <f t="shared" si="281"/>
        <v>1</v>
      </c>
      <c r="T465" s="214">
        <v>0</v>
      </c>
      <c r="U465" s="213">
        <f t="shared" si="278"/>
        <v>1</v>
      </c>
      <c r="V465" s="213">
        <f t="shared" si="278"/>
        <v>0</v>
      </c>
      <c r="W465" s="213"/>
      <c r="X465" s="213"/>
    </row>
    <row r="468" spans="1:24" x14ac:dyDescent="0.4">
      <c r="A468" s="10" t="s">
        <v>50</v>
      </c>
      <c r="B468" s="87"/>
      <c r="C468" s="88"/>
      <c r="D468" s="81"/>
      <c r="E468" s="24"/>
      <c r="F468" s="24"/>
      <c r="G468" s="24"/>
      <c r="H468" s="24"/>
      <c r="I468" s="24"/>
      <c r="J468" s="24"/>
      <c r="K468" s="24"/>
      <c r="L468" s="14"/>
      <c r="M468" s="14"/>
      <c r="N468" s="81"/>
      <c r="O468" s="81"/>
      <c r="P468" s="81"/>
      <c r="Q468" s="81"/>
      <c r="R468" s="81"/>
    </row>
    <row r="469" spans="1:24" x14ac:dyDescent="0.4">
      <c r="A469" s="87" t="s">
        <v>461</v>
      </c>
      <c r="B469" s="89"/>
      <c r="C469" s="88"/>
      <c r="D469" s="81"/>
      <c r="E469" s="24"/>
      <c r="F469" s="24"/>
      <c r="G469" s="24"/>
      <c r="H469" s="24"/>
      <c r="I469" s="24"/>
      <c r="J469" s="24"/>
      <c r="K469" s="75"/>
      <c r="L469" s="14"/>
      <c r="M469" s="14"/>
      <c r="N469" s="81"/>
      <c r="O469" s="81"/>
      <c r="P469" s="81"/>
      <c r="Q469" s="81"/>
      <c r="R469" s="81"/>
    </row>
    <row r="470" spans="1:24" ht="36.9" x14ac:dyDescent="0.4">
      <c r="A470" s="10" t="s">
        <v>51</v>
      </c>
      <c r="B470" s="89"/>
      <c r="C470" s="88"/>
      <c r="D470" s="88" t="s">
        <v>96</v>
      </c>
      <c r="E470" s="40" t="s">
        <v>11</v>
      </c>
      <c r="F470" s="40" t="s">
        <v>179</v>
      </c>
      <c r="G470" s="40" t="s">
        <v>180</v>
      </c>
      <c r="H470" s="40" t="s">
        <v>181</v>
      </c>
      <c r="I470" s="40" t="s">
        <v>182</v>
      </c>
      <c r="J470" s="40" t="s">
        <v>130</v>
      </c>
      <c r="K470" s="26" t="s">
        <v>133</v>
      </c>
      <c r="L470" s="14"/>
      <c r="M470" s="14"/>
      <c r="N470" s="81"/>
      <c r="O470" s="81"/>
      <c r="P470" s="81"/>
      <c r="Q470" s="90"/>
      <c r="R470" s="91" t="s">
        <v>102</v>
      </c>
      <c r="S470" s="176" t="s">
        <v>103</v>
      </c>
      <c r="T470" s="176" t="s">
        <v>104</v>
      </c>
      <c r="U470" s="176" t="s">
        <v>105</v>
      </c>
      <c r="V470" s="176" t="s">
        <v>106</v>
      </c>
      <c r="W470" s="177"/>
      <c r="X470" s="177"/>
    </row>
    <row r="471" spans="1:24" ht="12.6" x14ac:dyDescent="0.45">
      <c r="A471" s="81"/>
      <c r="B471" s="89"/>
      <c r="C471" s="88">
        <v>2022</v>
      </c>
      <c r="D471" s="215">
        <f>SUM(E471:K471)</f>
        <v>19078</v>
      </c>
      <c r="E471" s="40">
        <v>0</v>
      </c>
      <c r="F471" s="40">
        <v>5761</v>
      </c>
      <c r="G471" s="40">
        <v>3903</v>
      </c>
      <c r="H471" s="40">
        <v>3895</v>
      </c>
      <c r="I471" s="40">
        <v>5565</v>
      </c>
      <c r="J471" s="40">
        <v>1823</v>
      </c>
      <c r="K471" s="26">
        <v>-1869</v>
      </c>
      <c r="L471" s="14"/>
      <c r="M471" s="14"/>
      <c r="N471" s="81"/>
      <c r="O471" s="81"/>
      <c r="P471" s="81"/>
      <c r="Q471" s="81" t="str">
        <f>$A$470&amp;C471&amp;"REV"</f>
        <v>EXC2022REV</v>
      </c>
      <c r="R471" s="47">
        <f>IF(SUM(F471:I471)/D471&gt;1,1,SUM(F471:I471)/D471)</f>
        <v>1</v>
      </c>
      <c r="S471" s="131">
        <v>0.89588452178013733</v>
      </c>
      <c r="T471" s="131">
        <v>0.10411547821986265</v>
      </c>
      <c r="U471" s="178">
        <f>IF(OR(ISBLANK($R471),ISBLANK(S471)),"NA",$R471*S471)</f>
        <v>0.89588452178013733</v>
      </c>
      <c r="V471" s="178">
        <f>IF(OR(ISBLANK($R471),ISBLANK(T471)),"NA",$R471*T471)</f>
        <v>0.10411547821986265</v>
      </c>
      <c r="W471" s="178"/>
      <c r="X471" s="178"/>
    </row>
    <row r="472" spans="1:24" ht="12.6" x14ac:dyDescent="0.45">
      <c r="A472" s="81"/>
      <c r="B472" s="89" t="s">
        <v>107</v>
      </c>
      <c r="C472" s="88">
        <v>2021</v>
      </c>
      <c r="D472" s="92">
        <f>SUM(E472:K472)</f>
        <v>17938</v>
      </c>
      <c r="E472" s="40">
        <v>0</v>
      </c>
      <c r="F472" s="40">
        <v>6406</v>
      </c>
      <c r="G472" s="40">
        <v>3198</v>
      </c>
      <c r="H472" s="40">
        <v>3341</v>
      </c>
      <c r="I472" s="40">
        <v>5041</v>
      </c>
      <c r="J472" s="40">
        <v>2213</v>
      </c>
      <c r="K472" s="26">
        <v>-2261</v>
      </c>
      <c r="L472" s="14"/>
      <c r="M472" s="14"/>
      <c r="N472" s="81"/>
      <c r="O472" s="81"/>
      <c r="P472" s="81"/>
      <c r="Q472" s="81" t="str">
        <f t="shared" ref="Q472:Q473" si="282">$A$470&amp;C472&amp;"REV"</f>
        <v>EXC2021REV</v>
      </c>
      <c r="R472" s="47">
        <f t="shared" ref="R472:R473" si="283">IF(SUM(F472:I472)/D472&gt;1,1,SUM(F472:I472)/D472)</f>
        <v>1</v>
      </c>
      <c r="S472" s="131">
        <v>0.91443347372544559</v>
      </c>
      <c r="T472" s="131">
        <v>8.5566526274554466E-2</v>
      </c>
      <c r="U472" s="178">
        <f t="shared" ref="U472:V473" si="284">IF(OR(ISBLANK($R472),ISBLANK(S472)),"NA",$R472*S472)</f>
        <v>0.91443347372544559</v>
      </c>
      <c r="V472" s="178">
        <f t="shared" si="284"/>
        <v>8.5566526274554466E-2</v>
      </c>
      <c r="W472" s="178"/>
      <c r="X472" s="178"/>
    </row>
    <row r="473" spans="1:24" ht="12.6" x14ac:dyDescent="0.45">
      <c r="A473" s="81"/>
      <c r="B473" s="89"/>
      <c r="C473" s="88">
        <v>2020</v>
      </c>
      <c r="D473" s="92">
        <f>SUM(E473:K473)</f>
        <v>15436</v>
      </c>
      <c r="E473" s="40">
        <v>0</v>
      </c>
      <c r="F473" s="40">
        <v>5904</v>
      </c>
      <c r="G473" s="40">
        <v>3058</v>
      </c>
      <c r="H473" s="40">
        <v>3098</v>
      </c>
      <c r="I473" s="40">
        <v>4663</v>
      </c>
      <c r="J473" s="40">
        <v>2035</v>
      </c>
      <c r="K473" s="26">
        <v>-3322</v>
      </c>
      <c r="L473" s="14"/>
      <c r="M473" s="14"/>
      <c r="N473" s="81"/>
      <c r="O473" s="81"/>
      <c r="P473" s="81"/>
      <c r="Q473" s="81" t="str">
        <f t="shared" si="282"/>
        <v>EXC2020REV</v>
      </c>
      <c r="R473" s="47">
        <f t="shared" si="283"/>
        <v>1</v>
      </c>
      <c r="S473" s="131">
        <v>0.91382865133989233</v>
      </c>
      <c r="T473" s="131">
        <v>8.6171348660107713E-2</v>
      </c>
      <c r="U473" s="178">
        <f t="shared" si="284"/>
        <v>0.91382865133989233</v>
      </c>
      <c r="V473" s="178">
        <f t="shared" si="284"/>
        <v>8.6171348660107713E-2</v>
      </c>
      <c r="W473" s="178"/>
      <c r="X473" s="178"/>
    </row>
    <row r="474" spans="1:24" x14ac:dyDescent="0.4">
      <c r="A474" s="81"/>
      <c r="B474" s="89"/>
      <c r="C474" s="12"/>
      <c r="D474" s="92"/>
      <c r="E474" s="24"/>
      <c r="F474" s="24"/>
      <c r="G474" s="24"/>
      <c r="H474" s="24"/>
      <c r="I474" s="24"/>
      <c r="J474" s="24"/>
      <c r="K474" s="24"/>
      <c r="L474" s="14"/>
      <c r="M474" s="14"/>
      <c r="N474" s="81"/>
      <c r="O474" s="81"/>
      <c r="P474" s="81"/>
      <c r="Q474" s="81"/>
      <c r="R474" s="81"/>
    </row>
    <row r="475" spans="1:24" ht="12.6" x14ac:dyDescent="0.45">
      <c r="A475" s="81"/>
      <c r="B475" s="89"/>
      <c r="C475" s="12">
        <v>2022</v>
      </c>
      <c r="D475" s="92">
        <f>SUM(E475:K475)</f>
        <v>3315</v>
      </c>
      <c r="E475" s="40">
        <v>0</v>
      </c>
      <c r="F475" s="24">
        <v>1541</v>
      </c>
      <c r="G475" s="24">
        <v>801</v>
      </c>
      <c r="H475" s="24">
        <v>519</v>
      </c>
      <c r="I475" s="24">
        <v>831</v>
      </c>
      <c r="J475" s="24">
        <v>0</v>
      </c>
      <c r="K475" s="29">
        <v>-377</v>
      </c>
      <c r="L475" s="14"/>
      <c r="M475" s="14"/>
      <c r="N475" s="81"/>
      <c r="O475" s="81"/>
      <c r="P475" s="81"/>
      <c r="Q475" s="81" t="str">
        <f>$A$470&amp;C475&amp;"INC"</f>
        <v>EXC2022INC</v>
      </c>
      <c r="R475" s="47">
        <f>IF(SUM(F475:I475)/D475&gt;1,1,SUM(F475:I475)/D475)</f>
        <v>1</v>
      </c>
      <c r="S475" s="131">
        <v>0.90587979838885402</v>
      </c>
      <c r="T475" s="131">
        <v>9.4120201611145954E-2</v>
      </c>
      <c r="U475" s="178">
        <f>IF(OR(ISBLANK($R475),ISBLANK(S475)),"NA",$R475*S475)</f>
        <v>0.90587979838885402</v>
      </c>
      <c r="V475" s="178">
        <f>IF(OR(ISBLANK($R475),ISBLANK(T475)),"NA",$R475*T475)</f>
        <v>9.4120201611145954E-2</v>
      </c>
      <c r="W475" s="178"/>
      <c r="X475" s="178"/>
    </row>
    <row r="476" spans="1:24" ht="12.6" x14ac:dyDescent="0.45">
      <c r="A476" s="81"/>
      <c r="B476" s="89" t="s">
        <v>109</v>
      </c>
      <c r="C476" s="12">
        <v>2021</v>
      </c>
      <c r="D476" s="92">
        <f>SUM(E476:K476)</f>
        <v>3028</v>
      </c>
      <c r="E476" s="24">
        <v>0</v>
      </c>
      <c r="F476" s="24">
        <v>1255</v>
      </c>
      <c r="G476" s="24">
        <v>651</v>
      </c>
      <c r="H476" s="24">
        <v>481</v>
      </c>
      <c r="I476" s="24">
        <v>801</v>
      </c>
      <c r="J476" s="24">
        <v>0</v>
      </c>
      <c r="K476" s="29">
        <v>-160</v>
      </c>
      <c r="L476" s="50"/>
      <c r="M476" s="14"/>
      <c r="N476" s="81"/>
      <c r="O476" s="81"/>
      <c r="P476" s="81"/>
      <c r="Q476" s="81" t="str">
        <f t="shared" ref="Q476:Q477" si="285">$A$470&amp;C476&amp;"INC"</f>
        <v>EXC2021INC</v>
      </c>
      <c r="R476" s="47">
        <f t="shared" ref="R476:R477" si="286">IF(SUM(F476:I476)/D476&gt;1,1,SUM(F476:I476)/D476)</f>
        <v>1</v>
      </c>
      <c r="S476" s="131">
        <v>0.91925179433434001</v>
      </c>
      <c r="T476" s="131">
        <v>8.0748205665659961E-2</v>
      </c>
      <c r="U476" s="178">
        <f t="shared" ref="U476:V477" si="287">IF(OR(ISBLANK($R476),ISBLANK(S476)),"NA",$R476*S476)</f>
        <v>0.91925179433434001</v>
      </c>
      <c r="V476" s="178">
        <f t="shared" si="287"/>
        <v>8.0748205665659961E-2</v>
      </c>
      <c r="W476" s="178"/>
      <c r="X476" s="178"/>
    </row>
    <row r="477" spans="1:24" ht="12.6" x14ac:dyDescent="0.45">
      <c r="A477" s="81"/>
      <c r="B477" s="89"/>
      <c r="C477" s="12">
        <v>2020</v>
      </c>
      <c r="D477" s="92">
        <f>SUM(E477:K477)</f>
        <v>2562</v>
      </c>
      <c r="E477" s="24">
        <v>0</v>
      </c>
      <c r="F477" s="24">
        <v>954</v>
      </c>
      <c r="G477" s="24">
        <v>546</v>
      </c>
      <c r="H477" s="24">
        <v>500</v>
      </c>
      <c r="I477" s="29">
        <v>629</v>
      </c>
      <c r="J477" s="24">
        <v>0</v>
      </c>
      <c r="K477" s="24">
        <v>-67</v>
      </c>
      <c r="L477" s="14"/>
      <c r="M477" s="14"/>
      <c r="N477" s="81"/>
      <c r="O477" s="81"/>
      <c r="P477" s="81"/>
      <c r="Q477" s="81" t="str">
        <f t="shared" si="285"/>
        <v>EXC2020INC</v>
      </c>
      <c r="R477" s="47">
        <f t="shared" si="286"/>
        <v>1</v>
      </c>
      <c r="S477" s="131">
        <v>0.90238809856806945</v>
      </c>
      <c r="T477" s="131">
        <v>9.7611901431930562E-2</v>
      </c>
      <c r="U477" s="178">
        <f t="shared" si="287"/>
        <v>0.90238809856806945</v>
      </c>
      <c r="V477" s="178">
        <f t="shared" si="287"/>
        <v>9.7611901431930562E-2</v>
      </c>
      <c r="W477" s="178"/>
      <c r="X477" s="178"/>
    </row>
    <row r="478" spans="1:24" x14ac:dyDescent="0.4">
      <c r="A478" s="81"/>
      <c r="B478" s="89"/>
      <c r="C478" s="12"/>
      <c r="D478" s="92"/>
      <c r="E478" s="24"/>
      <c r="F478" s="24"/>
      <c r="G478" s="24"/>
      <c r="H478" s="24"/>
      <c r="I478" s="24"/>
      <c r="J478" s="24"/>
      <c r="K478" s="24"/>
      <c r="L478" s="14"/>
      <c r="M478" s="14"/>
      <c r="N478" s="81"/>
      <c r="O478" s="81"/>
      <c r="P478" s="81"/>
      <c r="Q478" s="81"/>
      <c r="R478" s="81"/>
    </row>
    <row r="479" spans="1:24" ht="12.6" x14ac:dyDescent="0.45">
      <c r="A479" s="81"/>
      <c r="B479" s="89"/>
      <c r="C479" s="12">
        <v>2022</v>
      </c>
      <c r="D479" s="92">
        <f>SUM(E479:K479)</f>
        <v>93595</v>
      </c>
      <c r="E479" s="40">
        <v>0</v>
      </c>
      <c r="F479" s="24">
        <v>39661</v>
      </c>
      <c r="G479" s="24">
        <v>14502</v>
      </c>
      <c r="H479" s="24">
        <v>13350</v>
      </c>
      <c r="I479" s="24">
        <v>26082</v>
      </c>
      <c r="J479" s="216"/>
      <c r="K479" s="216"/>
      <c r="L479" s="14"/>
      <c r="M479" s="14"/>
      <c r="N479" s="81"/>
      <c r="O479" s="81"/>
      <c r="P479" s="81"/>
      <c r="Q479" s="81" t="str">
        <f>$A$470&amp;C479&amp;"ASSETS"</f>
        <v>EXC2022ASSETS</v>
      </c>
      <c r="R479" s="47">
        <f>IF(SUM(F479:I479)/D479&gt;1,1,SUM(F479:I479)/D479)</f>
        <v>1</v>
      </c>
      <c r="S479" s="131">
        <v>0.89961196361694973</v>
      </c>
      <c r="T479" s="131">
        <v>0.10038803638305026</v>
      </c>
      <c r="U479" s="178">
        <f>IF(OR(ISBLANK($R479),ISBLANK(S479)),"NA",$R479*S479)</f>
        <v>0.89961196361694973</v>
      </c>
      <c r="V479" s="178">
        <f>IF(OR(ISBLANK($R479),ISBLANK(T479)),"NA",$R479*T479)</f>
        <v>0.10038803638305026</v>
      </c>
      <c r="W479" s="178"/>
      <c r="X479" s="178"/>
    </row>
    <row r="480" spans="1:24" ht="12.6" x14ac:dyDescent="0.45">
      <c r="A480" s="81"/>
      <c r="B480" s="89" t="s">
        <v>110</v>
      </c>
      <c r="C480" s="12">
        <v>2021</v>
      </c>
      <c r="D480" s="92">
        <f>SUM(E480:K480)</f>
        <v>84927</v>
      </c>
      <c r="E480" s="24">
        <v>0</v>
      </c>
      <c r="F480" s="24">
        <v>36470</v>
      </c>
      <c r="G480" s="24">
        <v>13824</v>
      </c>
      <c r="H480" s="24">
        <v>12324</v>
      </c>
      <c r="I480" s="24">
        <v>24744</v>
      </c>
      <c r="J480" s="24">
        <v>7727</v>
      </c>
      <c r="K480" s="24">
        <v>-10162</v>
      </c>
      <c r="L480" s="19"/>
      <c r="M480" s="14"/>
      <c r="N480" s="81"/>
      <c r="O480" s="81"/>
      <c r="P480" s="81"/>
      <c r="Q480" s="81" t="str">
        <f t="shared" ref="Q480:Q481" si="288">$A$470&amp;C480&amp;"ASSETS"</f>
        <v>EXC2021ASSETS</v>
      </c>
      <c r="R480" s="47">
        <f>IF(SUM(F480:I480)/D480&gt;1,1,SUM(F480:I480)/D480)</f>
        <v>1</v>
      </c>
      <c r="S480" s="131">
        <v>0.90245359150609505</v>
      </c>
      <c r="T480" s="131">
        <v>9.754640849390489E-2</v>
      </c>
      <c r="U480" s="178">
        <f t="shared" ref="U480:V481" si="289">IF(OR(ISBLANK($R480),ISBLANK(S480)),"NA",$R480*S480)</f>
        <v>0.90245359150609505</v>
      </c>
      <c r="V480" s="178">
        <f t="shared" si="289"/>
        <v>9.754640849390489E-2</v>
      </c>
      <c r="W480" s="178"/>
      <c r="X480" s="178"/>
    </row>
    <row r="481" spans="1:24" ht="12.6" x14ac:dyDescent="0.45">
      <c r="A481" s="81"/>
      <c r="B481" s="89"/>
      <c r="C481" s="12">
        <v>2020</v>
      </c>
      <c r="D481" s="92">
        <f>SUM(E481:L481)</f>
        <v>81223</v>
      </c>
      <c r="E481" s="24">
        <v>0</v>
      </c>
      <c r="F481" s="24">
        <v>34466</v>
      </c>
      <c r="G481" s="24">
        <v>12531</v>
      </c>
      <c r="H481" s="24">
        <v>11650</v>
      </c>
      <c r="I481" s="24">
        <v>23736</v>
      </c>
      <c r="J481" s="24">
        <v>9005</v>
      </c>
      <c r="K481" s="24">
        <v>-10165</v>
      </c>
      <c r="L481" s="14"/>
      <c r="M481" s="14"/>
      <c r="N481" s="81"/>
      <c r="O481" s="81"/>
      <c r="P481" s="81"/>
      <c r="Q481" s="81" t="str">
        <f t="shared" si="288"/>
        <v>EXC2020ASSETS</v>
      </c>
      <c r="R481" s="47">
        <f>IF(SUM(F481:I481)/D481&gt;1,1,SUM(F481:I481)/D481)</f>
        <v>1</v>
      </c>
      <c r="S481" s="131">
        <v>0.90589280326257371</v>
      </c>
      <c r="T481" s="131">
        <v>9.4107196737426305E-2</v>
      </c>
      <c r="U481" s="178">
        <f t="shared" si="289"/>
        <v>0.90589280326257371</v>
      </c>
      <c r="V481" s="178">
        <f t="shared" si="289"/>
        <v>9.4107196737426305E-2</v>
      </c>
      <c r="W481" s="178"/>
      <c r="X481" s="178"/>
    </row>
    <row r="482" spans="1:24" x14ac:dyDescent="0.4">
      <c r="D482" s="184"/>
    </row>
    <row r="485" spans="1:24" x14ac:dyDescent="0.4">
      <c r="A485" s="10" t="s">
        <v>183</v>
      </c>
      <c r="B485" s="89"/>
      <c r="C485" s="88"/>
      <c r="D485" s="81"/>
      <c r="E485" s="24"/>
      <c r="F485" s="24"/>
      <c r="G485" s="24"/>
      <c r="H485" s="24"/>
      <c r="I485" s="24"/>
      <c r="J485" s="14"/>
      <c r="K485" s="14"/>
      <c r="L485" s="14"/>
      <c r="M485" s="14"/>
      <c r="N485" s="81"/>
      <c r="O485" s="81"/>
      <c r="P485" s="81"/>
      <c r="Q485" s="81"/>
      <c r="R485" s="81"/>
      <c r="S485" s="81"/>
      <c r="T485" s="81"/>
      <c r="U485" s="81"/>
      <c r="V485" s="81"/>
      <c r="W485" s="81"/>
      <c r="X485" s="81"/>
    </row>
    <row r="486" spans="1:24" x14ac:dyDescent="0.4">
      <c r="A486" s="87" t="s">
        <v>462</v>
      </c>
      <c r="B486" s="89"/>
      <c r="C486" s="88"/>
      <c r="D486" s="81"/>
      <c r="E486" s="24"/>
      <c r="F486" s="24"/>
      <c r="G486" s="24"/>
      <c r="H486" s="24"/>
      <c r="I486" s="24"/>
      <c r="J486" s="14"/>
      <c r="K486" s="14"/>
      <c r="L486" s="14"/>
      <c r="M486" s="14"/>
      <c r="N486" s="81"/>
      <c r="O486" s="81"/>
      <c r="P486" s="81"/>
      <c r="Q486" s="81"/>
      <c r="R486" s="81"/>
      <c r="S486" s="81"/>
      <c r="T486" s="81"/>
      <c r="U486" s="81"/>
      <c r="V486" s="81"/>
      <c r="W486" s="81"/>
      <c r="X486" s="81"/>
    </row>
    <row r="487" spans="1:24" ht="36.9" x14ac:dyDescent="0.4">
      <c r="A487" s="10" t="s">
        <v>53</v>
      </c>
      <c r="B487" s="89"/>
      <c r="C487" s="88"/>
      <c r="D487" s="88" t="s">
        <v>96</v>
      </c>
      <c r="E487" s="26" t="s">
        <v>184</v>
      </c>
      <c r="F487" s="26" t="s">
        <v>185</v>
      </c>
      <c r="G487" s="26" t="s">
        <v>463</v>
      </c>
      <c r="H487" s="26" t="s">
        <v>126</v>
      </c>
      <c r="I487" s="14"/>
      <c r="J487" s="14"/>
      <c r="K487" s="14"/>
      <c r="L487" s="14"/>
      <c r="M487" s="14"/>
      <c r="N487" s="81"/>
      <c r="O487" s="81"/>
      <c r="P487" s="81"/>
      <c r="Q487" s="90"/>
      <c r="R487" s="91" t="s">
        <v>102</v>
      </c>
      <c r="S487" s="91" t="s">
        <v>103</v>
      </c>
      <c r="T487" s="91" t="s">
        <v>104</v>
      </c>
      <c r="U487" s="91" t="s">
        <v>105</v>
      </c>
      <c r="V487" s="91" t="s">
        <v>106</v>
      </c>
      <c r="W487" s="93"/>
      <c r="X487" s="93"/>
    </row>
    <row r="488" spans="1:24" x14ac:dyDescent="0.4">
      <c r="A488" s="81"/>
      <c r="B488" s="89"/>
      <c r="C488" s="88">
        <v>2022</v>
      </c>
      <c r="D488" s="215">
        <f>SUM(E488:H488)</f>
        <v>12459</v>
      </c>
      <c r="E488" s="26">
        <v>10801</v>
      </c>
      <c r="F488" s="26">
        <v>1868</v>
      </c>
      <c r="G488" s="24">
        <v>27</v>
      </c>
      <c r="H488" s="26">
        <v>-237</v>
      </c>
      <c r="I488" s="14"/>
      <c r="J488" s="14"/>
      <c r="K488" s="14"/>
      <c r="L488" s="14"/>
      <c r="M488" s="14"/>
      <c r="N488" s="81"/>
      <c r="O488" s="81"/>
      <c r="P488" s="81"/>
      <c r="Q488" s="81" t="str">
        <f>$A$487&amp;C488&amp;"REV"</f>
        <v>FE2022REV</v>
      </c>
      <c r="R488" s="47">
        <f>IF(SUM(E488:F488)/D488&gt;1,1,SUM(E488:F488)/D488)</f>
        <v>1</v>
      </c>
      <c r="S488" s="47">
        <f>SUM(E488:F488)/SUM(E488:F488)</f>
        <v>1</v>
      </c>
      <c r="T488" s="47">
        <v>0</v>
      </c>
      <c r="U488" s="28">
        <f t="shared" ref="U488:V490" si="290">IF(OR(ISBLANK($R488),ISBLANK(S488)),"NA",$R488*S488)</f>
        <v>1</v>
      </c>
      <c r="V488" s="28">
        <f t="shared" si="290"/>
        <v>0</v>
      </c>
      <c r="W488" s="28"/>
      <c r="X488" s="28"/>
    </row>
    <row r="489" spans="1:24" x14ac:dyDescent="0.4">
      <c r="A489" s="81"/>
      <c r="B489" s="89" t="s">
        <v>107</v>
      </c>
      <c r="C489" s="88">
        <v>2021</v>
      </c>
      <c r="D489" s="92">
        <f>SUM(E489:H489)</f>
        <v>11132</v>
      </c>
      <c r="E489" s="26">
        <v>9711</v>
      </c>
      <c r="F489" s="26">
        <v>1618</v>
      </c>
      <c r="G489" s="24">
        <v>14</v>
      </c>
      <c r="H489" s="26">
        <v>-211</v>
      </c>
      <c r="I489" s="14"/>
      <c r="J489" s="50"/>
      <c r="K489" s="14"/>
      <c r="L489" s="14"/>
      <c r="M489" s="14"/>
      <c r="N489" s="81"/>
      <c r="O489" s="81"/>
      <c r="P489" s="81"/>
      <c r="Q489" s="81" t="str">
        <f t="shared" ref="Q489:Q490" si="291">$A$487&amp;C489&amp;"REV"</f>
        <v>FE2021REV</v>
      </c>
      <c r="R489" s="47">
        <f t="shared" ref="R489:R490" si="292">IF(SUM(E489:F489)/D489&gt;1,1,SUM(E489:F489)/D489)</f>
        <v>1</v>
      </c>
      <c r="S489" s="47">
        <f>SUM(E489:F489)/SUM(E489:F489)</f>
        <v>1</v>
      </c>
      <c r="T489" s="47">
        <v>0</v>
      </c>
      <c r="U489" s="28">
        <f t="shared" si="290"/>
        <v>1</v>
      </c>
      <c r="V489" s="28">
        <f t="shared" si="290"/>
        <v>0</v>
      </c>
      <c r="W489" s="28"/>
      <c r="X489" s="28"/>
    </row>
    <row r="490" spans="1:24" x14ac:dyDescent="0.4">
      <c r="A490" s="81"/>
      <c r="B490" s="89"/>
      <c r="C490" s="88">
        <v>2020</v>
      </c>
      <c r="D490" s="92">
        <f>SUM(E490:H490)</f>
        <v>10790</v>
      </c>
      <c r="E490" s="26">
        <v>9363</v>
      </c>
      <c r="F490" s="26">
        <v>1630</v>
      </c>
      <c r="G490" s="24">
        <v>9</v>
      </c>
      <c r="H490" s="26">
        <v>-212</v>
      </c>
      <c r="I490" s="14"/>
      <c r="J490" s="50"/>
      <c r="K490" s="14"/>
      <c r="L490" s="14"/>
      <c r="M490" s="14"/>
      <c r="N490" s="81"/>
      <c r="O490" s="81"/>
      <c r="P490" s="81"/>
      <c r="Q490" s="81" t="str">
        <f t="shared" si="291"/>
        <v>FE2020REV</v>
      </c>
      <c r="R490" s="47">
        <f t="shared" si="292"/>
        <v>1</v>
      </c>
      <c r="S490" s="47">
        <f>SUM(E490:F490)/SUM(E490:F490)</f>
        <v>1</v>
      </c>
      <c r="T490" s="47">
        <v>0</v>
      </c>
      <c r="U490" s="28">
        <f t="shared" si="290"/>
        <v>1</v>
      </c>
      <c r="V490" s="28">
        <f t="shared" si="290"/>
        <v>0</v>
      </c>
      <c r="W490" s="28"/>
      <c r="X490" s="28"/>
    </row>
    <row r="491" spans="1:24" x14ac:dyDescent="0.4">
      <c r="A491" s="81"/>
      <c r="B491" s="89"/>
      <c r="C491" s="12"/>
      <c r="D491" s="81"/>
      <c r="E491" s="24"/>
      <c r="F491" s="24"/>
      <c r="G491" s="24"/>
      <c r="H491" s="24"/>
      <c r="I491" s="81"/>
      <c r="J491" s="14"/>
      <c r="K491" s="14"/>
      <c r="L491" s="14"/>
      <c r="M491" s="14"/>
      <c r="N491" s="81"/>
      <c r="O491" s="81"/>
      <c r="P491" s="81"/>
      <c r="Q491" s="81"/>
      <c r="R491" s="81"/>
      <c r="S491" s="81"/>
      <c r="T491" s="81"/>
      <c r="U491" s="81"/>
      <c r="V491" s="81"/>
      <c r="W491" s="81"/>
      <c r="X491" s="81"/>
    </row>
    <row r="492" spans="1:24" x14ac:dyDescent="0.4">
      <c r="A492" s="81"/>
      <c r="B492" s="89"/>
      <c r="C492" s="12">
        <v>2022</v>
      </c>
      <c r="D492" s="217">
        <f>SUM(E492:H492)</f>
        <v>1910</v>
      </c>
      <c r="E492" s="24">
        <v>1388</v>
      </c>
      <c r="F492" s="24">
        <v>665</v>
      </c>
      <c r="G492" s="24">
        <v>0</v>
      </c>
      <c r="H492" s="24">
        <v>-143</v>
      </c>
      <c r="I492" s="81"/>
      <c r="J492" s="14"/>
      <c r="K492" s="14"/>
      <c r="L492" s="14"/>
      <c r="M492" s="14"/>
      <c r="N492" s="81"/>
      <c r="O492" s="81"/>
      <c r="P492" s="81"/>
      <c r="Q492" s="81" t="str">
        <f>$A$487&amp;C492&amp;"INC"</f>
        <v>FE2022INC</v>
      </c>
      <c r="R492" s="47">
        <f t="shared" ref="R492:R494" si="293">IF(SUM(E492:F492)/D492&gt;1,1,SUM(E492:F492)/D492)</f>
        <v>1</v>
      </c>
      <c r="S492" s="47">
        <f>SUM(E492:F492)/SUM(E492:F492)</f>
        <v>1</v>
      </c>
      <c r="T492" s="47">
        <v>0</v>
      </c>
      <c r="U492" s="28">
        <f t="shared" ref="U492:V494" si="294">IF(OR(ISBLANK($R492),ISBLANK(S492)),"NA",$R492*S492)</f>
        <v>1</v>
      </c>
      <c r="V492" s="28">
        <f t="shared" si="294"/>
        <v>0</v>
      </c>
      <c r="W492" s="28"/>
      <c r="X492" s="28"/>
    </row>
    <row r="493" spans="1:24" x14ac:dyDescent="0.4">
      <c r="A493" s="81"/>
      <c r="B493" s="89" t="s">
        <v>109</v>
      </c>
      <c r="C493" s="88">
        <v>2021</v>
      </c>
      <c r="D493" s="92">
        <f>SUM(E493:H493)</f>
        <v>1726</v>
      </c>
      <c r="E493" s="24">
        <v>1465</v>
      </c>
      <c r="F493" s="24">
        <v>678</v>
      </c>
      <c r="G493" s="24">
        <v>0</v>
      </c>
      <c r="H493" s="24">
        <v>-417</v>
      </c>
      <c r="I493" s="81"/>
      <c r="J493" s="50"/>
      <c r="K493" s="14"/>
      <c r="L493" s="14"/>
      <c r="M493" s="14"/>
      <c r="N493" s="81"/>
      <c r="O493" s="81"/>
      <c r="P493" s="81"/>
      <c r="Q493" s="81" t="str">
        <f t="shared" ref="Q493:Q494" si="295">$A$487&amp;C493&amp;"INC"</f>
        <v>FE2021INC</v>
      </c>
      <c r="R493" s="47">
        <f t="shared" si="293"/>
        <v>1</v>
      </c>
      <c r="S493" s="47">
        <f>SUM(E493:F493)/SUM(E493:F493)</f>
        <v>1</v>
      </c>
      <c r="T493" s="47">
        <v>0</v>
      </c>
      <c r="U493" s="28">
        <f t="shared" si="294"/>
        <v>1</v>
      </c>
      <c r="V493" s="28">
        <f t="shared" si="294"/>
        <v>0</v>
      </c>
      <c r="W493" s="28"/>
      <c r="X493" s="28"/>
    </row>
    <row r="494" spans="1:24" x14ac:dyDescent="0.4">
      <c r="A494" s="81"/>
      <c r="B494" s="89"/>
      <c r="C494" s="88">
        <v>2020</v>
      </c>
      <c r="D494" s="92">
        <f>SUM(E494:H494)</f>
        <v>2162</v>
      </c>
      <c r="E494" s="24">
        <v>1527</v>
      </c>
      <c r="F494" s="24">
        <v>792</v>
      </c>
      <c r="G494" s="24">
        <v>0</v>
      </c>
      <c r="H494" s="24">
        <v>-157</v>
      </c>
      <c r="I494" s="81"/>
      <c r="J494" s="50"/>
      <c r="K494" s="14"/>
      <c r="L494" s="14"/>
      <c r="M494" s="14"/>
      <c r="N494" s="81"/>
      <c r="O494" s="81"/>
      <c r="P494" s="81"/>
      <c r="Q494" s="81" t="str">
        <f t="shared" si="295"/>
        <v>FE2020INC</v>
      </c>
      <c r="R494" s="47">
        <f t="shared" si="293"/>
        <v>1</v>
      </c>
      <c r="S494" s="47">
        <f>SUM(E494:F494)/SUM(E494:F494)</f>
        <v>1</v>
      </c>
      <c r="T494" s="47">
        <v>0</v>
      </c>
      <c r="U494" s="28">
        <f t="shared" si="294"/>
        <v>1</v>
      </c>
      <c r="V494" s="28">
        <f t="shared" si="294"/>
        <v>0</v>
      </c>
      <c r="W494" s="28"/>
      <c r="X494" s="28"/>
    </row>
    <row r="495" spans="1:24" x14ac:dyDescent="0.4">
      <c r="A495" s="81"/>
      <c r="B495" s="89"/>
      <c r="C495" s="12"/>
      <c r="D495" s="94"/>
      <c r="E495" s="24"/>
      <c r="F495" s="24"/>
      <c r="G495" s="24"/>
      <c r="H495" s="24"/>
      <c r="I495" s="81"/>
      <c r="J495" s="14"/>
      <c r="K495" s="14"/>
      <c r="L495" s="14"/>
      <c r="M495" s="14"/>
      <c r="N495" s="81"/>
      <c r="O495" s="81"/>
      <c r="P495" s="81"/>
      <c r="Q495" s="81"/>
      <c r="R495" s="81"/>
      <c r="S495" s="81"/>
      <c r="T495" s="81"/>
      <c r="U495" s="81"/>
      <c r="V495" s="81"/>
      <c r="W495" s="81"/>
      <c r="X495" s="81"/>
    </row>
    <row r="496" spans="1:24" x14ac:dyDescent="0.4">
      <c r="A496" s="81"/>
      <c r="B496" s="89"/>
      <c r="C496" s="12">
        <v>2022</v>
      </c>
      <c r="D496" s="218">
        <f>SUM(E496:H496)</f>
        <v>46108</v>
      </c>
      <c r="E496" s="24">
        <v>31749</v>
      </c>
      <c r="F496" s="24">
        <v>13835</v>
      </c>
      <c r="G496" s="24">
        <v>524</v>
      </c>
      <c r="H496" s="24">
        <v>0</v>
      </c>
      <c r="I496" s="81"/>
      <c r="J496" s="14"/>
      <c r="K496" s="14"/>
      <c r="L496" s="14"/>
      <c r="M496" s="14"/>
      <c r="N496" s="81"/>
      <c r="O496" s="81"/>
      <c r="P496" s="81"/>
      <c r="Q496" s="81" t="str">
        <f>$A$487&amp;C496&amp;"ASSETS"</f>
        <v>FE2022ASSETS</v>
      </c>
      <c r="R496" s="47">
        <f t="shared" ref="R496:R498" si="296">IF(SUM(E496:F496)/D496&gt;1,1,SUM(E496:F496)/D496)</f>
        <v>0.98863537780862321</v>
      </c>
      <c r="S496" s="47">
        <f>SUM(E496:F496)/SUM(E496:F496)</f>
        <v>1</v>
      </c>
      <c r="T496" s="47">
        <v>0</v>
      </c>
      <c r="U496" s="28">
        <f t="shared" ref="U496:V498" si="297">IF(OR(ISBLANK($R496),ISBLANK(S496)),"NA",$R496*S496)</f>
        <v>0.98863537780862321</v>
      </c>
      <c r="V496" s="28">
        <f t="shared" si="297"/>
        <v>0</v>
      </c>
      <c r="W496" s="28"/>
      <c r="X496" s="28"/>
    </row>
    <row r="497" spans="1:24" x14ac:dyDescent="0.4">
      <c r="A497" s="81"/>
      <c r="B497" s="89" t="s">
        <v>110</v>
      </c>
      <c r="C497" s="88">
        <v>2021</v>
      </c>
      <c r="D497" s="92">
        <f>SUM(E497:H497)</f>
        <v>45432</v>
      </c>
      <c r="E497" s="24">
        <v>30812</v>
      </c>
      <c r="F497" s="24">
        <v>13237</v>
      </c>
      <c r="G497" s="24">
        <v>1383</v>
      </c>
      <c r="H497" s="24">
        <v>0</v>
      </c>
      <c r="I497" s="81"/>
      <c r="J497" s="14"/>
      <c r="K497" s="14"/>
      <c r="L497" s="14"/>
      <c r="M497" s="14"/>
      <c r="N497" s="81"/>
      <c r="O497" s="81"/>
      <c r="P497" s="81"/>
      <c r="Q497" s="81" t="str">
        <f t="shared" ref="Q497:Q498" si="298">$A$487&amp;C497&amp;"ASSETS"</f>
        <v>FE2021ASSETS</v>
      </c>
      <c r="R497" s="47">
        <f t="shared" si="296"/>
        <v>0.96955890121500266</v>
      </c>
      <c r="S497" s="47">
        <f>SUM(E497:F497)/SUM(E497:F497)</f>
        <v>1</v>
      </c>
      <c r="T497" s="47">
        <v>0</v>
      </c>
      <c r="U497" s="28">
        <f t="shared" si="297"/>
        <v>0.96955890121500266</v>
      </c>
      <c r="V497" s="28">
        <f t="shared" si="297"/>
        <v>0</v>
      </c>
      <c r="W497" s="28"/>
      <c r="X497" s="28"/>
    </row>
    <row r="498" spans="1:24" x14ac:dyDescent="0.4">
      <c r="A498" s="81"/>
      <c r="C498" s="88">
        <v>2020</v>
      </c>
      <c r="D498" s="92">
        <f>SUM(E498:H498)</f>
        <v>44464</v>
      </c>
      <c r="E498" s="24">
        <v>30855</v>
      </c>
      <c r="F498" s="24">
        <v>12592</v>
      </c>
      <c r="G498" s="24">
        <v>1017</v>
      </c>
      <c r="H498" s="24">
        <v>0</v>
      </c>
      <c r="I498" s="81"/>
      <c r="J498" s="14"/>
      <c r="K498" s="14"/>
      <c r="L498" s="14"/>
      <c r="M498" s="14"/>
      <c r="N498" s="81"/>
      <c r="O498" s="81"/>
      <c r="P498" s="81"/>
      <c r="Q498" s="81" t="str">
        <f t="shared" si="298"/>
        <v>FE2020ASSETS</v>
      </c>
      <c r="R498" s="47">
        <f t="shared" si="296"/>
        <v>0.97712756387189637</v>
      </c>
      <c r="S498" s="47">
        <f>SUM(E498:F498)/SUM(E498:F498)</f>
        <v>1</v>
      </c>
      <c r="T498" s="47">
        <v>0</v>
      </c>
      <c r="U498" s="28">
        <f t="shared" si="297"/>
        <v>0.97712756387189637</v>
      </c>
      <c r="V498" s="28">
        <f t="shared" si="297"/>
        <v>0</v>
      </c>
      <c r="W498" s="28"/>
      <c r="X498" s="28"/>
    </row>
    <row r="499" spans="1:24" x14ac:dyDescent="0.4">
      <c r="D499" s="184"/>
    </row>
    <row r="502" spans="1:24" x14ac:dyDescent="0.4">
      <c r="A502" s="10" t="s">
        <v>57</v>
      </c>
      <c r="B502" s="89"/>
      <c r="C502" s="88"/>
      <c r="D502" s="81"/>
      <c r="E502" s="24"/>
      <c r="F502" s="24"/>
      <c r="G502" s="24"/>
      <c r="H502" s="14"/>
      <c r="I502" s="14"/>
      <c r="J502" s="14"/>
      <c r="K502" s="14"/>
      <c r="L502" s="14"/>
      <c r="M502" s="14"/>
      <c r="N502" s="81"/>
      <c r="O502" s="81"/>
      <c r="P502" s="81"/>
      <c r="Q502" s="81"/>
      <c r="R502" s="81"/>
      <c r="S502" s="81"/>
      <c r="T502" s="81"/>
      <c r="U502" s="81"/>
      <c r="V502" s="81"/>
      <c r="W502" s="81"/>
      <c r="X502" s="81"/>
    </row>
    <row r="503" spans="1:24" x14ac:dyDescent="0.4">
      <c r="A503" s="81" t="s">
        <v>464</v>
      </c>
      <c r="B503" s="89"/>
      <c r="C503" s="88"/>
      <c r="D503" s="81"/>
      <c r="E503" s="24"/>
      <c r="F503" s="24"/>
      <c r="G503" s="24"/>
      <c r="H503" s="14"/>
      <c r="I503" s="14"/>
      <c r="J503" s="14"/>
      <c r="K503" s="14"/>
      <c r="L503" s="14"/>
      <c r="M503" s="14"/>
      <c r="N503" s="81"/>
      <c r="O503" s="81"/>
      <c r="P503" s="81"/>
      <c r="Q503" s="81"/>
      <c r="R503" s="81"/>
      <c r="S503" s="81"/>
      <c r="T503" s="81"/>
      <c r="U503" s="81"/>
      <c r="V503" s="81"/>
      <c r="W503" s="81"/>
      <c r="X503" s="81"/>
    </row>
    <row r="504" spans="1:24" ht="36.9" x14ac:dyDescent="0.4">
      <c r="A504" s="10" t="s">
        <v>58</v>
      </c>
      <c r="B504" s="89"/>
      <c r="C504" s="88"/>
      <c r="D504" s="88" t="s">
        <v>96</v>
      </c>
      <c r="E504" s="40" t="s">
        <v>134</v>
      </c>
      <c r="F504" s="40" t="s">
        <v>186</v>
      </c>
      <c r="G504" s="40" t="s">
        <v>130</v>
      </c>
      <c r="H504" s="14"/>
      <c r="I504" s="14"/>
      <c r="J504" s="14"/>
      <c r="K504" s="14"/>
      <c r="L504" s="14"/>
      <c r="M504" s="14"/>
      <c r="N504" s="81"/>
      <c r="O504" s="81"/>
      <c r="P504" s="81"/>
      <c r="Q504" s="90"/>
      <c r="R504" s="91" t="s">
        <v>102</v>
      </c>
      <c r="S504" s="91" t="s">
        <v>103</v>
      </c>
      <c r="T504" s="91" t="s">
        <v>104</v>
      </c>
      <c r="U504" s="91" t="s">
        <v>105</v>
      </c>
      <c r="V504" s="91" t="s">
        <v>106</v>
      </c>
      <c r="W504" s="93"/>
      <c r="X504" s="93"/>
    </row>
    <row r="505" spans="1:24" x14ac:dyDescent="0.4">
      <c r="A505" s="81"/>
      <c r="B505" s="89"/>
      <c r="C505" s="136">
        <v>2022</v>
      </c>
      <c r="D505" s="144">
        <f>SUM(E505:G505)</f>
        <v>3741985</v>
      </c>
      <c r="E505" s="18">
        <v>3408587</v>
      </c>
      <c r="F505" s="18">
        <v>321068</v>
      </c>
      <c r="G505" s="18">
        <v>12330</v>
      </c>
      <c r="H505" s="14"/>
      <c r="I505" s="14"/>
      <c r="J505" s="14"/>
      <c r="K505" s="14"/>
      <c r="L505" s="14"/>
      <c r="M505" s="14"/>
      <c r="N505" s="81"/>
      <c r="O505" s="81"/>
      <c r="P505" s="81"/>
      <c r="Q505" s="81" t="str">
        <f>$A$504&amp;C505&amp;"REV"</f>
        <v>HE2022REV</v>
      </c>
      <c r="R505" s="47">
        <f>IF(E505/D505&gt;1,1,E505/D505)</f>
        <v>0.91090343761399362</v>
      </c>
      <c r="S505" s="47">
        <f>E505/E505</f>
        <v>1</v>
      </c>
      <c r="T505" s="47">
        <v>0</v>
      </c>
      <c r="U505" s="28">
        <f>IF(OR(ISBLANK($R505),ISBLANK(S505)),"NA",$R505*S505)</f>
        <v>0.91090343761399362</v>
      </c>
      <c r="V505" s="28">
        <f>IF(OR(ISBLANK($R505),ISBLANK(T505)),"NA",$R505*T505)</f>
        <v>0</v>
      </c>
      <c r="W505" s="28"/>
      <c r="X505" s="28"/>
    </row>
    <row r="506" spans="1:24" x14ac:dyDescent="0.4">
      <c r="A506" s="81"/>
      <c r="B506" s="89" t="s">
        <v>107</v>
      </c>
      <c r="C506" s="88">
        <v>2021</v>
      </c>
      <c r="D506" s="215">
        <f>SUM(E506:G506)</f>
        <v>2850379</v>
      </c>
      <c r="E506" s="40">
        <v>2539636</v>
      </c>
      <c r="F506" s="40">
        <v>306398</v>
      </c>
      <c r="G506" s="40">
        <v>4345</v>
      </c>
      <c r="H506" s="14"/>
      <c r="I506" s="14"/>
      <c r="J506" s="14"/>
      <c r="K506" s="14"/>
      <c r="L506" s="14"/>
      <c r="M506" s="14"/>
      <c r="N506" s="81"/>
      <c r="O506" s="81"/>
      <c r="P506" s="81"/>
      <c r="Q506" s="81" t="str">
        <f>$A$504&amp;C506&amp;"REV"</f>
        <v>HE2021REV</v>
      </c>
      <c r="R506" s="47">
        <f>IF(E506/D506&gt;1,1,E506/D506)</f>
        <v>0.89098186592028639</v>
      </c>
      <c r="S506" s="47">
        <f t="shared" ref="S506:S507" si="299">E506/E506</f>
        <v>1</v>
      </c>
      <c r="T506" s="47">
        <v>0</v>
      </c>
      <c r="U506" s="28">
        <f>IF(OR(ISBLANK($R506),ISBLANK(S506)),"NA",$R506*S506)</f>
        <v>0.89098186592028639</v>
      </c>
      <c r="V506" s="28">
        <f>IF(OR(ISBLANK($R506),ISBLANK(T506)),"NA",$R506*T506)</f>
        <v>0</v>
      </c>
      <c r="W506" s="28"/>
      <c r="X506" s="28"/>
    </row>
    <row r="507" spans="1:24" x14ac:dyDescent="0.4">
      <c r="A507" s="81"/>
      <c r="B507" s="89"/>
      <c r="C507" s="88">
        <v>2020</v>
      </c>
      <c r="D507" s="92">
        <f>SUM(E507:G507)</f>
        <v>2579775</v>
      </c>
      <c r="E507" s="40">
        <v>2265320</v>
      </c>
      <c r="F507" s="40">
        <v>313511</v>
      </c>
      <c r="G507" s="40">
        <v>944</v>
      </c>
      <c r="H507" s="14"/>
      <c r="I507" s="14"/>
      <c r="J507" s="14"/>
      <c r="K507" s="14"/>
      <c r="L507" s="14"/>
      <c r="M507" s="14"/>
      <c r="N507" s="81"/>
      <c r="O507" s="81"/>
      <c r="P507" s="81"/>
      <c r="Q507" s="81" t="str">
        <f>$A$504&amp;C507&amp;"REV"</f>
        <v>HE2020REV</v>
      </c>
      <c r="R507" s="47">
        <f>IF(E507/D507&gt;1,1,E507/D507)</f>
        <v>0.87810758690195856</v>
      </c>
      <c r="S507" s="47">
        <f t="shared" si="299"/>
        <v>1</v>
      </c>
      <c r="T507" s="47">
        <v>0</v>
      </c>
      <c r="U507" s="28">
        <f>IF(OR(ISBLANK($R507),ISBLANK(S507)),"NA",$R507*S507)</f>
        <v>0.87810758690195856</v>
      </c>
      <c r="V507" s="28">
        <f t="shared" ref="V507" si="300">IF(OR(ISBLANK($R507),ISBLANK(T507)),"NA",$R507*T507)</f>
        <v>0</v>
      </c>
      <c r="W507" s="28"/>
      <c r="X507" s="28"/>
    </row>
    <row r="508" spans="1:24" x14ac:dyDescent="0.4">
      <c r="A508" s="81"/>
      <c r="B508" s="89"/>
      <c r="C508" s="12"/>
      <c r="D508" s="92"/>
      <c r="E508" s="24"/>
      <c r="F508" s="24"/>
      <c r="G508" s="24"/>
      <c r="H508" s="14"/>
      <c r="I508" s="14"/>
      <c r="J508" s="14"/>
      <c r="K508" s="14"/>
      <c r="L508" s="14"/>
      <c r="M508" s="14"/>
      <c r="N508" s="81"/>
      <c r="O508" s="81"/>
      <c r="P508" s="81"/>
      <c r="Q508" s="81"/>
      <c r="R508" s="81"/>
      <c r="S508" s="81"/>
      <c r="T508" s="81"/>
      <c r="U508" s="81"/>
      <c r="V508" s="81"/>
      <c r="W508" s="81"/>
      <c r="X508" s="81"/>
    </row>
    <row r="509" spans="1:24" x14ac:dyDescent="0.4">
      <c r="A509" s="81"/>
      <c r="B509" s="89"/>
      <c r="C509" s="136">
        <v>2022</v>
      </c>
      <c r="D509" s="153">
        <f>SUM(E509:G509)</f>
        <v>381073</v>
      </c>
      <c r="E509" s="18">
        <v>299191</v>
      </c>
      <c r="F509" s="18">
        <v>101518</v>
      </c>
      <c r="G509" s="18">
        <v>-19636</v>
      </c>
      <c r="H509" s="14"/>
      <c r="I509" s="14"/>
      <c r="J509" s="14"/>
      <c r="K509" s="14"/>
      <c r="L509" s="14"/>
      <c r="M509" s="14"/>
      <c r="N509" s="81"/>
      <c r="O509" s="81"/>
      <c r="P509" s="81"/>
      <c r="Q509" s="81" t="str">
        <f>$A$504&amp;C509&amp;"INC"</f>
        <v>HE2022INC</v>
      </c>
      <c r="R509" s="47">
        <f>IF(E509/D509&gt;1,1,E509/D509)</f>
        <v>0.78512778391541782</v>
      </c>
      <c r="S509" s="47">
        <f>E509/E509</f>
        <v>1</v>
      </c>
      <c r="T509" s="47">
        <v>0</v>
      </c>
      <c r="U509" s="28">
        <f>IF(OR(ISBLANK($R509),ISBLANK(S509)),"NA",$R509*S509)</f>
        <v>0.78512778391541782</v>
      </c>
      <c r="V509" s="28">
        <f>IF(OR(ISBLANK($R509),ISBLANK(T509)),"NA",$R509*T509)</f>
        <v>0</v>
      </c>
      <c r="W509" s="28"/>
      <c r="X509" s="28"/>
    </row>
    <row r="510" spans="1:24" x14ac:dyDescent="0.4">
      <c r="A510" s="81"/>
      <c r="B510" s="89" t="s">
        <v>109</v>
      </c>
      <c r="C510" s="12">
        <v>2021</v>
      </c>
      <c r="D510" s="92">
        <f>SUM(E510:G510)</f>
        <v>386066</v>
      </c>
      <c r="E510" s="24">
        <v>279558</v>
      </c>
      <c r="F510" s="24">
        <v>128203</v>
      </c>
      <c r="G510" s="24">
        <v>-21695</v>
      </c>
      <c r="H510" s="14"/>
      <c r="I510" s="14"/>
      <c r="J510" s="14"/>
      <c r="K510" s="14"/>
      <c r="L510" s="14"/>
      <c r="M510" s="14"/>
      <c r="N510" s="81"/>
      <c r="O510" s="81"/>
      <c r="P510" s="81"/>
      <c r="Q510" s="81" t="str">
        <f t="shared" ref="Q510:Q511" si="301">$A$504&amp;C510&amp;"INC"</f>
        <v>HE2021INC</v>
      </c>
      <c r="R510" s="47">
        <f>IF(E510/D510&gt;1,1,E510/D510)</f>
        <v>0.72411971010138165</v>
      </c>
      <c r="S510" s="47">
        <f t="shared" ref="S510:S511" si="302">E510/E510</f>
        <v>1</v>
      </c>
      <c r="T510" s="47">
        <v>0</v>
      </c>
      <c r="U510" s="28">
        <f t="shared" ref="U510:V511" si="303">IF(OR(ISBLANK($R510),ISBLANK(S510)),"NA",$R510*S510)</f>
        <v>0.72411971010138165</v>
      </c>
      <c r="V510" s="28">
        <f>IF(OR(ISBLANK($R510),ISBLANK(T510)),"NA",$R510*T510)</f>
        <v>0</v>
      </c>
      <c r="W510" s="28"/>
      <c r="X510" s="28"/>
    </row>
    <row r="511" spans="1:24" x14ac:dyDescent="0.4">
      <c r="A511" s="81"/>
      <c r="B511" s="89"/>
      <c r="C511" s="12">
        <v>2020</v>
      </c>
      <c r="D511" s="92">
        <f>SUM(E511:G511)</f>
        <v>311493</v>
      </c>
      <c r="E511" s="24">
        <v>268550</v>
      </c>
      <c r="F511" s="24">
        <v>61809</v>
      </c>
      <c r="G511" s="24">
        <v>-18866</v>
      </c>
      <c r="H511" s="14"/>
      <c r="I511" s="14"/>
      <c r="J511" s="14"/>
      <c r="K511" s="14"/>
      <c r="L511" s="14"/>
      <c r="M511" s="14"/>
      <c r="N511" s="81"/>
      <c r="O511" s="81"/>
      <c r="P511" s="81"/>
      <c r="Q511" s="81" t="str">
        <f t="shared" si="301"/>
        <v>HE2020INC</v>
      </c>
      <c r="R511" s="47">
        <f>IF(E511/D511&gt;1,1,E511/D511)</f>
        <v>0.86213815398740901</v>
      </c>
      <c r="S511" s="47">
        <f t="shared" si="302"/>
        <v>1</v>
      </c>
      <c r="T511" s="47">
        <v>0</v>
      </c>
      <c r="U511" s="28">
        <f t="shared" si="303"/>
        <v>0.86213815398740901</v>
      </c>
      <c r="V511" s="28">
        <f t="shared" si="303"/>
        <v>0</v>
      </c>
      <c r="W511" s="28"/>
      <c r="X511" s="28"/>
    </row>
    <row r="512" spans="1:24" x14ac:dyDescent="0.4">
      <c r="A512" s="81"/>
      <c r="B512" s="89"/>
      <c r="C512" s="12"/>
      <c r="D512" s="92"/>
      <c r="E512" s="24"/>
      <c r="F512" s="24"/>
      <c r="G512" s="24"/>
      <c r="H512" s="14"/>
      <c r="I512" s="14"/>
      <c r="J512" s="14"/>
      <c r="K512" s="14"/>
      <c r="L512" s="14"/>
      <c r="M512" s="14"/>
      <c r="N512" s="81"/>
      <c r="O512" s="81"/>
      <c r="P512" s="81"/>
      <c r="Q512" s="81"/>
      <c r="R512" s="81"/>
      <c r="S512" s="81"/>
      <c r="T512" s="81"/>
      <c r="U512" s="81"/>
      <c r="V512" s="81"/>
      <c r="W512" s="81"/>
      <c r="X512" s="81"/>
    </row>
    <row r="513" spans="1:24" x14ac:dyDescent="0.4">
      <c r="A513" s="81"/>
      <c r="B513" s="89"/>
      <c r="C513" s="136">
        <v>2022</v>
      </c>
      <c r="D513" s="153">
        <f>SUM(E513:G513)</f>
        <v>16284244</v>
      </c>
      <c r="E513" s="18">
        <v>6597467</v>
      </c>
      <c r="F513" s="18">
        <v>9545970</v>
      </c>
      <c r="G513" s="18">
        <v>140807</v>
      </c>
      <c r="H513" s="14"/>
      <c r="I513" s="14"/>
      <c r="J513" s="14"/>
      <c r="K513" s="14"/>
      <c r="L513" s="14"/>
      <c r="M513" s="14"/>
      <c r="N513" s="81"/>
      <c r="O513" s="81"/>
      <c r="P513" s="81"/>
      <c r="Q513" s="81" t="str">
        <f>$A$504&amp;C513&amp;"ASSETS"</f>
        <v>HE2022ASSETS</v>
      </c>
      <c r="R513" s="47">
        <f>IF(E513/D513&gt;1,1,E513/D513)</f>
        <v>0.40514419950966102</v>
      </c>
      <c r="S513" s="47">
        <f>E513/E513</f>
        <v>1</v>
      </c>
      <c r="T513" s="47">
        <v>0</v>
      </c>
      <c r="U513" s="28">
        <f>IF(OR(ISBLANK($R513),ISBLANK(S513)),"NA",$R513*S513)</f>
        <v>0.40514419950966102</v>
      </c>
      <c r="V513" s="28">
        <f>IF(OR(ISBLANK($R513),ISBLANK(T513)),"NA",$R513*T513)</f>
        <v>0</v>
      </c>
      <c r="W513" s="28"/>
      <c r="X513" s="28"/>
    </row>
    <row r="514" spans="1:24" x14ac:dyDescent="0.4">
      <c r="A514" s="81"/>
      <c r="B514" s="89" t="s">
        <v>110</v>
      </c>
      <c r="C514" s="12">
        <v>2021</v>
      </c>
      <c r="D514" s="92">
        <f>SUM(E514:G514)</f>
        <v>15822637</v>
      </c>
      <c r="E514" s="24">
        <v>6491625</v>
      </c>
      <c r="F514" s="24">
        <v>9181603</v>
      </c>
      <c r="G514" s="24">
        <v>149409</v>
      </c>
      <c r="H514" s="14"/>
      <c r="I514" s="14"/>
      <c r="J514" s="14"/>
      <c r="K514" s="14"/>
      <c r="L514" s="14"/>
      <c r="M514" s="14"/>
      <c r="N514" s="81"/>
      <c r="O514" s="81"/>
      <c r="P514" s="81"/>
      <c r="Q514" s="81" t="str">
        <f t="shared" ref="Q514:Q515" si="304">$A$504&amp;C514&amp;"ASSETS"</f>
        <v>HE2021ASSETS</v>
      </c>
      <c r="R514" s="47">
        <f>IF(E514/D514&gt;1,1,E514/D514)</f>
        <v>0.41027453262057395</v>
      </c>
      <c r="S514" s="47">
        <f t="shared" ref="S514:S515" si="305">E514/E514</f>
        <v>1</v>
      </c>
      <c r="T514" s="47">
        <v>0</v>
      </c>
      <c r="U514" s="28">
        <f>IF(OR(ISBLANK($R514),ISBLANK(S514)),"NA",$R514*S514)</f>
        <v>0.41027453262057395</v>
      </c>
      <c r="V514" s="28">
        <f>IF(OR(ISBLANK($R514),ISBLANK(T514)),"NA",$R514*T514)</f>
        <v>0</v>
      </c>
      <c r="W514" s="28"/>
      <c r="X514" s="28"/>
    </row>
    <row r="515" spans="1:24" x14ac:dyDescent="0.4">
      <c r="A515" s="81"/>
      <c r="B515" s="81"/>
      <c r="C515" s="12">
        <v>2020</v>
      </c>
      <c r="D515" s="92">
        <f>SUM(E515:G515)</f>
        <v>15004007</v>
      </c>
      <c r="E515" s="24">
        <v>6457373</v>
      </c>
      <c r="F515" s="24">
        <v>8396533</v>
      </c>
      <c r="G515" s="24">
        <v>150101</v>
      </c>
      <c r="H515" s="14"/>
      <c r="I515" s="14"/>
      <c r="J515" s="14"/>
      <c r="K515" s="14"/>
      <c r="L515" s="14"/>
      <c r="M515" s="14"/>
      <c r="N515" s="81"/>
      <c r="O515" s="81"/>
      <c r="P515" s="81"/>
      <c r="Q515" s="81" t="str">
        <f t="shared" si="304"/>
        <v>HE2020ASSETS</v>
      </c>
      <c r="R515" s="47">
        <f>IF(E515/D515&gt;1,1,E515/D515)</f>
        <v>0.43037656540682767</v>
      </c>
      <c r="S515" s="47">
        <f t="shared" si="305"/>
        <v>1</v>
      </c>
      <c r="T515" s="47">
        <v>0</v>
      </c>
      <c r="U515" s="28">
        <f t="shared" ref="U515:V515" si="306">IF(OR(ISBLANK($R515),ISBLANK(S515)),"NA",$R515*S515)</f>
        <v>0.43037656540682767</v>
      </c>
      <c r="V515" s="28">
        <f t="shared" si="306"/>
        <v>0</v>
      </c>
      <c r="W515" s="28"/>
      <c r="X515" s="28"/>
    </row>
    <row r="516" spans="1:24" x14ac:dyDescent="0.4">
      <c r="D516" s="184"/>
    </row>
    <row r="519" spans="1:24" x14ac:dyDescent="0.4">
      <c r="A519" s="10" t="s">
        <v>59</v>
      </c>
      <c r="B519" s="89"/>
      <c r="C519" s="88"/>
      <c r="D519" s="81"/>
      <c r="E519" s="24"/>
      <c r="F519" s="24"/>
      <c r="G519" s="24"/>
      <c r="H519" s="14"/>
      <c r="I519" s="14"/>
      <c r="J519" s="14"/>
      <c r="K519" s="14"/>
      <c r="L519" s="14"/>
      <c r="M519" s="14"/>
      <c r="N519" s="81"/>
      <c r="O519" s="81"/>
      <c r="P519" s="81"/>
      <c r="Q519" s="81"/>
      <c r="R519" s="81"/>
      <c r="S519" s="81"/>
      <c r="T519" s="81"/>
      <c r="U519" s="81"/>
      <c r="V519" s="81"/>
      <c r="W519" s="81"/>
      <c r="X519" s="81"/>
    </row>
    <row r="520" spans="1:24" x14ac:dyDescent="0.4">
      <c r="A520" s="81" t="s">
        <v>465</v>
      </c>
      <c r="B520" s="89"/>
      <c r="C520" s="88"/>
      <c r="D520" s="81"/>
      <c r="E520" s="24"/>
      <c r="F520" s="24"/>
      <c r="G520" s="24"/>
      <c r="H520" s="14"/>
      <c r="I520" s="14"/>
      <c r="J520" s="14"/>
      <c r="K520" s="14"/>
      <c r="L520" s="14"/>
      <c r="M520" s="14"/>
      <c r="N520" s="81"/>
      <c r="O520" s="81"/>
      <c r="P520" s="81"/>
      <c r="Q520" s="81"/>
      <c r="R520" s="81"/>
      <c r="S520" s="81"/>
      <c r="T520" s="81"/>
      <c r="U520" s="81"/>
      <c r="V520" s="81"/>
      <c r="W520" s="81"/>
      <c r="X520" s="81"/>
    </row>
    <row r="521" spans="1:24" ht="36.9" x14ac:dyDescent="0.4">
      <c r="A521" s="95" t="s">
        <v>60</v>
      </c>
      <c r="B521" s="89" t="s">
        <v>187</v>
      </c>
      <c r="C521" s="88"/>
      <c r="D521" s="88" t="s">
        <v>96</v>
      </c>
      <c r="E521" s="40" t="s">
        <v>188</v>
      </c>
      <c r="F521" s="40" t="s">
        <v>189</v>
      </c>
      <c r="G521" s="40" t="s">
        <v>101</v>
      </c>
      <c r="H521" s="14"/>
      <c r="I521" s="14"/>
      <c r="J521" s="14"/>
      <c r="K521" s="14"/>
      <c r="L521" s="14"/>
      <c r="M521" s="14"/>
      <c r="N521" s="81"/>
      <c r="O521" s="81"/>
      <c r="P521" s="81"/>
      <c r="Q521" s="90"/>
      <c r="R521" s="91" t="s">
        <v>102</v>
      </c>
      <c r="S521" s="91" t="s">
        <v>103</v>
      </c>
      <c r="T521" s="91" t="s">
        <v>104</v>
      </c>
      <c r="U521" s="91" t="s">
        <v>105</v>
      </c>
      <c r="V521" s="91" t="s">
        <v>106</v>
      </c>
      <c r="W521" s="93"/>
      <c r="X521" s="93"/>
    </row>
    <row r="522" spans="1:24" x14ac:dyDescent="0.4">
      <c r="A522" s="81"/>
      <c r="B522" s="89"/>
      <c r="C522" s="136">
        <v>2022</v>
      </c>
      <c r="D522" s="153">
        <f>SUM(E522:G522)</f>
        <v>1643981</v>
      </c>
      <c r="E522" s="18">
        <v>1641040</v>
      </c>
      <c r="F522" s="18">
        <v>2941</v>
      </c>
      <c r="G522" s="40">
        <v>0</v>
      </c>
      <c r="H522" s="14"/>
      <c r="I522" s="14"/>
      <c r="J522" s="14"/>
      <c r="K522" s="14"/>
      <c r="L522" s="14"/>
      <c r="M522" s="14"/>
      <c r="N522" s="81"/>
      <c r="O522" s="81"/>
      <c r="P522" s="81"/>
      <c r="Q522" s="81" t="str">
        <f>$A$521&amp;C522&amp;"REV"</f>
        <v>IDA2022REV</v>
      </c>
      <c r="R522" s="47">
        <f>IF(E522/D522&gt;1,1,E522/D522)</f>
        <v>0.99821104988439646</v>
      </c>
      <c r="S522" s="47">
        <f>E522/E522</f>
        <v>1</v>
      </c>
      <c r="T522" s="47">
        <v>0</v>
      </c>
      <c r="U522" s="28">
        <f>IF(OR(ISBLANK($R522),ISBLANK(S522)),"NA",$R522*S522)</f>
        <v>0.99821104988439646</v>
      </c>
      <c r="V522" s="28">
        <f>IF(OR(ISBLANK($R522),ISBLANK(T522)),"NA",$R522*T522)</f>
        <v>0</v>
      </c>
      <c r="W522" s="28"/>
      <c r="X522" s="28"/>
    </row>
    <row r="523" spans="1:24" x14ac:dyDescent="0.4">
      <c r="A523" s="81"/>
      <c r="B523" s="89" t="s">
        <v>107</v>
      </c>
      <c r="C523" s="88">
        <v>2021</v>
      </c>
      <c r="D523" s="92">
        <f>SUM(E523:G523)</f>
        <v>1458084</v>
      </c>
      <c r="E523" s="40">
        <v>1455410</v>
      </c>
      <c r="F523" s="40">
        <v>2674</v>
      </c>
      <c r="G523" s="40">
        <v>0</v>
      </c>
      <c r="H523" s="14"/>
      <c r="I523" s="14"/>
      <c r="J523" s="14"/>
      <c r="K523" s="14"/>
      <c r="L523" s="14"/>
      <c r="M523" s="14"/>
      <c r="N523" s="81"/>
      <c r="O523" s="81"/>
      <c r="P523" s="81"/>
      <c r="Q523" s="81" t="str">
        <f t="shared" ref="Q523:Q524" si="307">$A$521&amp;C523&amp;"REV"</f>
        <v>IDA2021REV</v>
      </c>
      <c r="R523" s="47">
        <f>IF(E523/D523&gt;1,1,E523/D523)</f>
        <v>0.99816608645318106</v>
      </c>
      <c r="S523" s="47">
        <f t="shared" ref="S523:S524" si="308">E523/E523</f>
        <v>1</v>
      </c>
      <c r="T523" s="47">
        <v>0</v>
      </c>
      <c r="U523" s="28">
        <f>IF(OR(ISBLANK($R523),ISBLANK(S523)),"NA",$R523*S523)</f>
        <v>0.99816608645318106</v>
      </c>
      <c r="V523" s="28">
        <f>IF(OR(ISBLANK($R523),ISBLANK(T523)),"NA",$R523*T523)</f>
        <v>0</v>
      </c>
      <c r="W523" s="28"/>
      <c r="X523" s="28"/>
    </row>
    <row r="524" spans="1:24" x14ac:dyDescent="0.4">
      <c r="A524" s="81"/>
      <c r="B524" s="89"/>
      <c r="C524" s="88">
        <v>2020</v>
      </c>
      <c r="D524" s="92">
        <f>SUM(E524:G524)</f>
        <v>1350729</v>
      </c>
      <c r="E524" s="40">
        <v>1347340</v>
      </c>
      <c r="F524" s="40">
        <v>3389</v>
      </c>
      <c r="G524" s="40">
        <v>0</v>
      </c>
      <c r="H524" s="14"/>
      <c r="I524" s="14"/>
      <c r="J524" s="14"/>
      <c r="K524" s="14"/>
      <c r="L524" s="14"/>
      <c r="M524" s="14"/>
      <c r="N524" s="81"/>
      <c r="O524" s="81"/>
      <c r="P524" s="81"/>
      <c r="Q524" s="81" t="str">
        <f t="shared" si="307"/>
        <v>IDA2020REV</v>
      </c>
      <c r="R524" s="47">
        <f>IF(E524/D524&gt;1,1,E524/D524)</f>
        <v>0.99749098449800067</v>
      </c>
      <c r="S524" s="47">
        <f t="shared" si="308"/>
        <v>1</v>
      </c>
      <c r="T524" s="47">
        <v>0</v>
      </c>
      <c r="U524" s="28">
        <f t="shared" ref="U524:V524" si="309">IF(OR(ISBLANK($R524),ISBLANK(S524)),"NA",$R524*S524)</f>
        <v>0.99749098449800067</v>
      </c>
      <c r="V524" s="28">
        <f t="shared" si="309"/>
        <v>0</v>
      </c>
      <c r="W524" s="28"/>
      <c r="X524" s="28"/>
    </row>
    <row r="525" spans="1:24" x14ac:dyDescent="0.4">
      <c r="A525" s="81"/>
      <c r="B525" s="89"/>
      <c r="C525" s="88"/>
      <c r="D525" s="81"/>
      <c r="E525" s="24"/>
      <c r="F525" s="24"/>
      <c r="G525" s="24"/>
      <c r="H525" s="14"/>
      <c r="I525" s="14"/>
      <c r="J525" s="14"/>
      <c r="K525" s="14"/>
      <c r="L525" s="14"/>
      <c r="M525" s="14"/>
      <c r="N525" s="81"/>
      <c r="O525" s="81"/>
      <c r="P525" s="81"/>
      <c r="Q525" s="81"/>
      <c r="R525" s="81"/>
      <c r="S525" s="81"/>
      <c r="T525" s="81"/>
      <c r="U525" s="81"/>
      <c r="V525" s="81"/>
      <c r="W525" s="81"/>
      <c r="X525" s="81"/>
    </row>
    <row r="526" spans="1:24" x14ac:dyDescent="0.4">
      <c r="A526" s="81"/>
      <c r="B526" s="89"/>
      <c r="C526" s="136">
        <v>2022</v>
      </c>
      <c r="D526" s="153">
        <f>SUM(E526:G526)</f>
        <v>327178</v>
      </c>
      <c r="E526" s="18">
        <v>327170</v>
      </c>
      <c r="F526" s="18">
        <v>8</v>
      </c>
      <c r="G526" s="40">
        <v>0</v>
      </c>
      <c r="H526" s="14"/>
      <c r="I526" s="14"/>
      <c r="J526" s="14"/>
      <c r="K526" s="14"/>
      <c r="L526" s="14"/>
      <c r="M526" s="14"/>
      <c r="N526" s="81"/>
      <c r="O526" s="81"/>
      <c r="P526" s="81"/>
      <c r="Q526" s="81" t="str">
        <f>$A$521&amp;C526&amp;"INC"</f>
        <v>IDA2022INC</v>
      </c>
      <c r="R526" s="47">
        <f>IF(E526/D526&gt;1,1,E526/D526)</f>
        <v>0.99997554847819836</v>
      </c>
      <c r="S526" s="47">
        <f>E526/E526</f>
        <v>1</v>
      </c>
      <c r="T526" s="47">
        <v>0</v>
      </c>
      <c r="U526" s="28">
        <f>IF(OR(ISBLANK($R526),ISBLANK(S526)),"NA",$R526*S526)</f>
        <v>0.99997554847819836</v>
      </c>
      <c r="V526" s="28">
        <f>IF(OR(ISBLANK($R526),ISBLANK(T526)),"NA",$R526*T526)</f>
        <v>0</v>
      </c>
      <c r="W526" s="28"/>
      <c r="X526" s="28"/>
    </row>
    <row r="527" spans="1:24" x14ac:dyDescent="0.4">
      <c r="A527" s="81"/>
      <c r="B527" s="89" t="s">
        <v>109</v>
      </c>
      <c r="C527" s="88">
        <v>2021</v>
      </c>
      <c r="D527" s="92">
        <f>SUM(E527:G527)</f>
        <v>329651</v>
      </c>
      <c r="E527" s="18">
        <v>329568</v>
      </c>
      <c r="F527" s="18">
        <v>83</v>
      </c>
      <c r="G527" s="40">
        <v>0</v>
      </c>
      <c r="H527" s="14"/>
      <c r="I527" s="14"/>
      <c r="J527" s="14"/>
      <c r="K527" s="14"/>
      <c r="L527" s="14"/>
      <c r="M527" s="14"/>
      <c r="N527" s="81"/>
      <c r="O527" s="81"/>
      <c r="P527" s="81"/>
      <c r="Q527" s="81" t="str">
        <f t="shared" ref="Q527:Q528" si="310">$A$521&amp;C527&amp;"INC"</f>
        <v>IDA2021INC</v>
      </c>
      <c r="R527" s="47">
        <f>IF(E527/D527&gt;1,1,E527/D527)</f>
        <v>0.99974821857054885</v>
      </c>
      <c r="S527" s="47">
        <f t="shared" ref="S527:S528" si="311">E527/E527</f>
        <v>1</v>
      </c>
      <c r="T527" s="47">
        <v>0</v>
      </c>
      <c r="U527" s="28">
        <f>IF(OR(ISBLANK($R527),ISBLANK(S527)),"NA",$R527*S527)</f>
        <v>0.99974821857054885</v>
      </c>
      <c r="V527" s="28">
        <f>IF(OR(ISBLANK($R527),ISBLANK(T527)),"NA",$R527*T527)</f>
        <v>0</v>
      </c>
      <c r="W527" s="28"/>
      <c r="X527" s="28"/>
    </row>
    <row r="528" spans="1:24" x14ac:dyDescent="0.4">
      <c r="A528" s="81"/>
      <c r="B528" s="89"/>
      <c r="C528" s="88">
        <v>2020</v>
      </c>
      <c r="D528" s="92">
        <f>SUM(E528:G528)</f>
        <v>309521</v>
      </c>
      <c r="E528" s="18">
        <v>308780</v>
      </c>
      <c r="F528" s="18">
        <v>741</v>
      </c>
      <c r="G528" s="40">
        <v>0</v>
      </c>
      <c r="H528" s="14"/>
      <c r="I528" s="14"/>
      <c r="J528" s="14"/>
      <c r="K528" s="14"/>
      <c r="L528" s="14"/>
      <c r="M528" s="14"/>
      <c r="N528" s="81"/>
      <c r="O528" s="81"/>
      <c r="P528" s="81"/>
      <c r="Q528" s="81" t="str">
        <f t="shared" si="310"/>
        <v>IDA2020INC</v>
      </c>
      <c r="R528" s="47">
        <f>IF(E528/D528&gt;1,1,E528/D528)</f>
        <v>0.99760597826964892</v>
      </c>
      <c r="S528" s="47">
        <f t="shared" si="311"/>
        <v>1</v>
      </c>
      <c r="T528" s="47">
        <v>0</v>
      </c>
      <c r="U528" s="28">
        <f t="shared" ref="U528:V528" si="312">IF(OR(ISBLANK($R528),ISBLANK(S528)),"NA",$R528*S528)</f>
        <v>0.99760597826964892</v>
      </c>
      <c r="V528" s="28">
        <f t="shared" si="312"/>
        <v>0</v>
      </c>
      <c r="W528" s="28"/>
      <c r="X528" s="28"/>
    </row>
    <row r="529" spans="1:24" x14ac:dyDescent="0.4">
      <c r="A529" s="81"/>
      <c r="B529" s="89"/>
      <c r="C529" s="88"/>
      <c r="D529" s="94"/>
      <c r="E529" s="24"/>
      <c r="F529" s="24"/>
      <c r="G529" s="24"/>
      <c r="H529" s="14"/>
      <c r="I529" s="14"/>
      <c r="J529" s="14"/>
      <c r="K529" s="14"/>
      <c r="L529" s="14"/>
      <c r="M529" s="14"/>
      <c r="N529" s="81"/>
      <c r="O529" s="81"/>
      <c r="P529" s="81"/>
      <c r="Q529" s="81"/>
      <c r="R529" s="81"/>
      <c r="S529" s="81"/>
      <c r="T529" s="81"/>
      <c r="U529" s="81"/>
      <c r="V529" s="81"/>
      <c r="W529" s="81"/>
      <c r="X529" s="81"/>
    </row>
    <row r="530" spans="1:24" x14ac:dyDescent="0.4">
      <c r="A530" s="81"/>
      <c r="B530" s="89"/>
      <c r="C530" s="136">
        <v>2022</v>
      </c>
      <c r="D530" s="153">
        <f>SUM(E530:G530)</f>
        <v>7543258</v>
      </c>
      <c r="E530" s="18">
        <v>7411104</v>
      </c>
      <c r="F530" s="18">
        <v>245762</v>
      </c>
      <c r="G530" s="18">
        <v>-113608</v>
      </c>
      <c r="H530" s="14"/>
      <c r="I530" s="14"/>
      <c r="J530" s="14"/>
      <c r="K530" s="14"/>
      <c r="L530" s="14"/>
      <c r="M530" s="14"/>
      <c r="N530" s="81"/>
      <c r="O530" s="81"/>
      <c r="P530" s="81"/>
      <c r="Q530" s="81" t="str">
        <f>$A$521&amp;C530&amp;"ASSETS"</f>
        <v>IDA2022ASSETS</v>
      </c>
      <c r="R530" s="47">
        <f>IF(E530/D530&gt;1,1,E530/D530)</f>
        <v>0.98248051438781492</v>
      </c>
      <c r="S530" s="47">
        <f>E530/E530</f>
        <v>1</v>
      </c>
      <c r="T530" s="47">
        <v>0</v>
      </c>
      <c r="U530" s="28">
        <f>IF(OR(ISBLANK($R530),ISBLANK(S530)),"NA",$R530*S530)</f>
        <v>0.98248051438781492</v>
      </c>
      <c r="V530" s="28">
        <f>IF(OR(ISBLANK($R530),ISBLANK(T530)),"NA",$R530*T530)</f>
        <v>0</v>
      </c>
      <c r="W530" s="28"/>
      <c r="X530" s="28"/>
    </row>
    <row r="531" spans="1:24" x14ac:dyDescent="0.4">
      <c r="A531" s="81"/>
      <c r="B531" s="89" t="s">
        <v>110</v>
      </c>
      <c r="C531" s="88">
        <v>2021</v>
      </c>
      <c r="D531" s="92">
        <f>SUM(E531:G531)</f>
        <v>7210515</v>
      </c>
      <c r="E531" s="18">
        <v>6990839</v>
      </c>
      <c r="F531" s="18">
        <v>281999</v>
      </c>
      <c r="G531" s="18">
        <v>-62323</v>
      </c>
      <c r="H531" s="14"/>
      <c r="I531" s="14"/>
      <c r="J531" s="14"/>
      <c r="K531" s="14"/>
      <c r="L531" s="14"/>
      <c r="M531" s="14"/>
      <c r="N531" s="81"/>
      <c r="O531" s="81"/>
      <c r="P531" s="81"/>
      <c r="Q531" s="81" t="str">
        <f t="shared" ref="Q531:Q532" si="313">$A$521&amp;C531&amp;"ASSETS"</f>
        <v>IDA2021ASSETS</v>
      </c>
      <c r="R531" s="47">
        <f>IF(E531/D531&gt;1,1,E531/D531)</f>
        <v>0.96953393758975603</v>
      </c>
      <c r="S531" s="47">
        <f t="shared" ref="S531:S532" si="314">E531/E531</f>
        <v>1</v>
      </c>
      <c r="T531" s="47">
        <v>0</v>
      </c>
      <c r="U531" s="28">
        <f>IF(OR(ISBLANK($R531),ISBLANK(S531)),"NA",$R531*S531)</f>
        <v>0.96953393758975603</v>
      </c>
      <c r="V531" s="28">
        <f>IF(OR(ISBLANK($R531),ISBLANK(T531)),"NA",$R531*T531)</f>
        <v>0</v>
      </c>
      <c r="W531" s="28"/>
      <c r="X531" s="28"/>
    </row>
    <row r="532" spans="1:24" x14ac:dyDescent="0.4">
      <c r="A532" s="81"/>
      <c r="B532" s="89"/>
      <c r="C532" s="88">
        <v>2020</v>
      </c>
      <c r="D532" s="92">
        <f>SUM(E532:G532)</f>
        <v>7095244</v>
      </c>
      <c r="E532" s="18">
        <v>6906110</v>
      </c>
      <c r="F532" s="18">
        <v>253060</v>
      </c>
      <c r="G532" s="18">
        <v>-63926</v>
      </c>
      <c r="H532" s="14"/>
      <c r="I532" s="14"/>
      <c r="J532" s="14"/>
      <c r="K532" s="14"/>
      <c r="L532" s="14"/>
      <c r="M532" s="14"/>
      <c r="N532" s="81"/>
      <c r="O532" s="81"/>
      <c r="P532" s="81"/>
      <c r="Q532" s="81" t="str">
        <f t="shared" si="313"/>
        <v>IDA2020ASSETS</v>
      </c>
      <c r="R532" s="47">
        <f>IF(E532/D532&gt;1,1,E532/D532)</f>
        <v>0.97334355238523163</v>
      </c>
      <c r="S532" s="47">
        <f t="shared" si="314"/>
        <v>1</v>
      </c>
      <c r="T532" s="47">
        <v>0</v>
      </c>
      <c r="U532" s="28">
        <f t="shared" ref="U532:V532" si="315">IF(OR(ISBLANK($R532),ISBLANK(S532)),"NA",$R532*S532)</f>
        <v>0.97334355238523163</v>
      </c>
      <c r="V532" s="28">
        <f t="shared" si="315"/>
        <v>0</v>
      </c>
      <c r="W532" s="28"/>
      <c r="X532" s="28"/>
    </row>
    <row r="533" spans="1:24" x14ac:dyDescent="0.4">
      <c r="D533" s="184"/>
    </row>
    <row r="535" spans="1:24" x14ac:dyDescent="0.4">
      <c r="A535" s="10" t="s">
        <v>61</v>
      </c>
      <c r="B535" s="89"/>
      <c r="C535" s="88"/>
      <c r="D535" s="81"/>
      <c r="E535" s="14"/>
      <c r="F535" s="14"/>
      <c r="G535" s="14"/>
      <c r="H535" s="14"/>
      <c r="I535" s="14"/>
      <c r="J535" s="14"/>
      <c r="K535" s="14"/>
      <c r="L535" s="14"/>
      <c r="M535" s="14"/>
      <c r="N535" s="81"/>
      <c r="O535" s="81"/>
      <c r="P535" s="81"/>
      <c r="Q535" s="81"/>
      <c r="R535" s="81"/>
      <c r="S535" s="81"/>
      <c r="T535" s="81"/>
      <c r="U535" s="81"/>
      <c r="V535" s="81"/>
      <c r="W535" s="81"/>
      <c r="X535" s="81"/>
    </row>
    <row r="536" spans="1:24" x14ac:dyDescent="0.4">
      <c r="A536" s="81" t="s">
        <v>466</v>
      </c>
      <c r="B536" s="89"/>
      <c r="C536" s="88"/>
      <c r="D536" s="81"/>
      <c r="E536" s="14"/>
      <c r="F536" s="14"/>
      <c r="G536" s="14"/>
      <c r="H536" s="14"/>
      <c r="I536" s="14"/>
      <c r="J536" s="14"/>
      <c r="K536" s="14"/>
      <c r="L536" s="14"/>
      <c r="M536" s="14"/>
      <c r="N536" s="81"/>
      <c r="O536" s="81"/>
      <c r="P536" s="81"/>
      <c r="Q536" s="81"/>
      <c r="R536" s="81"/>
      <c r="S536" s="81"/>
      <c r="T536" s="81"/>
      <c r="U536" s="81"/>
      <c r="V536" s="81"/>
      <c r="W536" s="81"/>
      <c r="X536" s="81"/>
    </row>
    <row r="537" spans="1:24" ht="36.9" x14ac:dyDescent="0.4">
      <c r="A537" s="95" t="s">
        <v>62</v>
      </c>
      <c r="B537" s="93" t="s">
        <v>187</v>
      </c>
      <c r="C537" s="88"/>
      <c r="D537" s="88" t="s">
        <v>96</v>
      </c>
      <c r="E537" s="34" t="s">
        <v>141</v>
      </c>
      <c r="F537" s="34" t="s">
        <v>149</v>
      </c>
      <c r="G537" s="26" t="s">
        <v>190</v>
      </c>
      <c r="H537" s="26" t="s">
        <v>191</v>
      </c>
      <c r="I537" s="40" t="s">
        <v>192</v>
      </c>
      <c r="J537" s="26" t="s">
        <v>193</v>
      </c>
      <c r="K537" s="14"/>
      <c r="L537" s="14"/>
      <c r="M537" s="14"/>
      <c r="N537" s="81"/>
      <c r="O537" s="81"/>
      <c r="P537" s="81"/>
      <c r="Q537" s="90"/>
      <c r="R537" s="91" t="s">
        <v>102</v>
      </c>
      <c r="S537" s="91" t="s">
        <v>103</v>
      </c>
      <c r="T537" s="91" t="s">
        <v>104</v>
      </c>
      <c r="U537" s="91" t="s">
        <v>105</v>
      </c>
      <c r="V537" s="91" t="s">
        <v>106</v>
      </c>
      <c r="W537" s="93"/>
      <c r="X537" s="93"/>
    </row>
    <row r="538" spans="1:24" x14ac:dyDescent="0.4">
      <c r="A538" s="95"/>
      <c r="B538" s="93"/>
      <c r="C538" s="136">
        <v>2022</v>
      </c>
      <c r="D538" s="153">
        <f>SUM(E538:J538)</f>
        <v>714519</v>
      </c>
      <c r="E538" s="18">
        <v>465167</v>
      </c>
      <c r="F538" s="18">
        <v>248672</v>
      </c>
      <c r="G538" s="18">
        <v>680</v>
      </c>
      <c r="H538" s="26">
        <v>0</v>
      </c>
      <c r="I538" s="40">
        <v>0</v>
      </c>
      <c r="J538" s="26">
        <v>0</v>
      </c>
      <c r="K538" s="14"/>
      <c r="L538" s="14"/>
      <c r="M538" s="14"/>
      <c r="N538" s="81"/>
      <c r="O538" s="81"/>
      <c r="P538" s="81"/>
      <c r="Q538" s="81" t="str">
        <f>$A$537&amp;C538&amp;"REV"</f>
        <v>MGEE2022REV</v>
      </c>
      <c r="R538" s="47">
        <f>IF(SUM(E538:F538,H538)/D538&gt;1,1,SUM(E538:F538,H538)/D538)</f>
        <v>0.99904831082168566</v>
      </c>
      <c r="S538" s="47">
        <f>SUM(E538,H538)/SUM(E538:F538,H538)</f>
        <v>0.65164133649184197</v>
      </c>
      <c r="T538" s="47">
        <f>F538/SUM(E538:F538,H538)</f>
        <v>0.34835866350815803</v>
      </c>
      <c r="U538" s="28">
        <f>IF(OR(ISBLANK($R538),ISBLANK(S538)),"NA",$R538*S538)</f>
        <v>0.65102117648376034</v>
      </c>
      <c r="V538" s="28">
        <f>IF(OR(ISBLANK($R538),ISBLANK(T538)),"NA",$R538*T538)</f>
        <v>0.34802713433792526</v>
      </c>
      <c r="W538" s="93"/>
      <c r="X538" s="93"/>
    </row>
    <row r="539" spans="1:24" x14ac:dyDescent="0.4">
      <c r="A539" s="81"/>
      <c r="B539" s="89" t="s">
        <v>107</v>
      </c>
      <c r="C539" s="88">
        <v>2021</v>
      </c>
      <c r="D539" s="92">
        <f>SUM(E539:J539)</f>
        <v>606584</v>
      </c>
      <c r="E539" s="34">
        <v>420286</v>
      </c>
      <c r="F539" s="34">
        <v>185620</v>
      </c>
      <c r="G539" s="26">
        <v>678</v>
      </c>
      <c r="H539" s="26">
        <v>0</v>
      </c>
      <c r="I539" s="40">
        <v>0</v>
      </c>
      <c r="J539" s="26">
        <v>0</v>
      </c>
      <c r="K539" s="14"/>
      <c r="L539" s="14"/>
      <c r="M539" s="14"/>
      <c r="N539" s="81"/>
      <c r="O539" s="81"/>
      <c r="P539" s="81"/>
      <c r="Q539" s="81" t="str">
        <f t="shared" ref="Q539:Q540" si="316">$A$537&amp;C539&amp;"REV"</f>
        <v>MGEE2021REV</v>
      </c>
      <c r="R539" s="47">
        <f t="shared" ref="R539:R540" si="317">IF(SUM(E539:F539,H539)/D539&gt;1,1,SUM(E539:F539,H539)/D539)</f>
        <v>0.99888226527570789</v>
      </c>
      <c r="S539" s="47">
        <f t="shared" ref="S539:S540" si="318">SUM(E539,H539)/SUM(E539:F539,H539)</f>
        <v>0.69364884982158947</v>
      </c>
      <c r="T539" s="47">
        <f t="shared" ref="T539:T540" si="319">F539/SUM(E539:F539,H539)</f>
        <v>0.30635115017841053</v>
      </c>
      <c r="U539" s="28">
        <f t="shared" ref="U539:V540" si="320">IF(OR(ISBLANK($R539),ISBLANK(S539)),"NA",$R539*S539)</f>
        <v>0.69287353441567856</v>
      </c>
      <c r="V539" s="28">
        <f t="shared" si="320"/>
        <v>0.30600873086002928</v>
      </c>
      <c r="W539" s="28"/>
      <c r="X539" s="28"/>
    </row>
    <row r="540" spans="1:24" x14ac:dyDescent="0.4">
      <c r="A540" s="81"/>
      <c r="C540" s="88">
        <v>2020</v>
      </c>
      <c r="D540" s="92">
        <f>SUM(E540:J540)</f>
        <v>538633</v>
      </c>
      <c r="E540" s="18">
        <v>393692</v>
      </c>
      <c r="F540" s="18">
        <v>144261</v>
      </c>
      <c r="G540" s="18">
        <v>680</v>
      </c>
      <c r="H540" s="26">
        <v>0</v>
      </c>
      <c r="I540" s="40">
        <v>0</v>
      </c>
      <c r="J540" s="26">
        <v>0</v>
      </c>
      <c r="K540" s="14"/>
      <c r="L540" s="14"/>
      <c r="M540" s="14"/>
      <c r="N540" s="81"/>
      <c r="O540" s="81"/>
      <c r="P540" s="81"/>
      <c r="Q540" s="81" t="str">
        <f t="shared" si="316"/>
        <v>MGEE2020REV</v>
      </c>
      <c r="R540" s="47">
        <f t="shared" si="317"/>
        <v>0.99873754485892996</v>
      </c>
      <c r="S540" s="47">
        <f t="shared" si="318"/>
        <v>0.73183345013411949</v>
      </c>
      <c r="T540" s="47">
        <f t="shared" si="319"/>
        <v>0.26816654986588045</v>
      </c>
      <c r="U540" s="28">
        <f t="shared" si="320"/>
        <v>0.73090954323259061</v>
      </c>
      <c r="V540" s="28">
        <f t="shared" si="320"/>
        <v>0.26782800162633924</v>
      </c>
      <c r="W540" s="28"/>
      <c r="X540" s="28"/>
    </row>
    <row r="541" spans="1:24" x14ac:dyDescent="0.4">
      <c r="A541" s="81"/>
      <c r="B541" s="89"/>
      <c r="C541" s="88"/>
      <c r="D541" s="81"/>
      <c r="E541" s="37"/>
      <c r="F541" s="37"/>
      <c r="G541" s="37"/>
      <c r="H541" s="37"/>
      <c r="I541" s="37"/>
      <c r="J541" s="37"/>
      <c r="K541" s="14"/>
      <c r="L541" s="14"/>
      <c r="M541" s="14"/>
      <c r="N541" s="81"/>
      <c r="O541" s="81"/>
      <c r="P541" s="81"/>
      <c r="Q541" s="81"/>
      <c r="R541" s="81"/>
      <c r="S541" s="81"/>
      <c r="T541" s="81"/>
      <c r="U541" s="81"/>
      <c r="V541" s="81"/>
      <c r="W541" s="81"/>
      <c r="X541" s="81"/>
    </row>
    <row r="542" spans="1:24" x14ac:dyDescent="0.4">
      <c r="A542" s="81"/>
      <c r="B542" s="89"/>
      <c r="C542" s="136">
        <v>2022</v>
      </c>
      <c r="D542" s="153">
        <f>SUM(E542:J542)</f>
        <v>137743</v>
      </c>
      <c r="E542" s="18">
        <v>77672</v>
      </c>
      <c r="F542" s="18">
        <v>26261</v>
      </c>
      <c r="G542" s="18">
        <v>34683</v>
      </c>
      <c r="H542" s="37">
        <v>0</v>
      </c>
      <c r="I542" s="18">
        <v>-873</v>
      </c>
      <c r="J542" s="37">
        <v>0</v>
      </c>
      <c r="K542" s="14"/>
      <c r="L542" s="14"/>
      <c r="M542" s="14"/>
      <c r="N542" s="81"/>
      <c r="O542" s="81"/>
      <c r="P542" s="81"/>
      <c r="Q542" s="81" t="str">
        <f>$A$537&amp;C542&amp;"INC"</f>
        <v>MGEE2022INC</v>
      </c>
      <c r="R542" s="47">
        <f>IF(SUM(E542:F542,H542)/D542&gt;1,1,SUM(E542:F542,H542)/D542)</f>
        <v>0.7545428805819534</v>
      </c>
      <c r="S542" s="47">
        <f>SUM(E538,H538)/SUM(E538:F538,H538)</f>
        <v>0.65164133649184197</v>
      </c>
      <c r="T542" s="47">
        <f>F542/SUM(E542:F542,H542)</f>
        <v>0.25267239471582653</v>
      </c>
      <c r="U542" s="28">
        <f>IF(OR(ISBLANK($R542),ISBLANK(S542)),"NA",$R542*S542)</f>
        <v>0.49169133114282843</v>
      </c>
      <c r="V542" s="28">
        <f>IF(OR(ISBLANK($R542),ISBLANK(T542)),"NA",$R542*T542)</f>
        <v>0.1906521565524201</v>
      </c>
      <c r="W542" s="81"/>
      <c r="X542" s="81"/>
    </row>
    <row r="543" spans="1:24" x14ac:dyDescent="0.4">
      <c r="A543" s="81"/>
      <c r="B543" s="89" t="s">
        <v>109</v>
      </c>
      <c r="C543" s="88">
        <v>2021</v>
      </c>
      <c r="D543" s="219">
        <f>SUM(E543:J543)</f>
        <v>117294</v>
      </c>
      <c r="E543" s="37">
        <v>58993</v>
      </c>
      <c r="F543" s="37">
        <v>25133</v>
      </c>
      <c r="G543" s="37">
        <v>33936</v>
      </c>
      <c r="H543" s="37">
        <v>0</v>
      </c>
      <c r="I543" s="37">
        <v>-768</v>
      </c>
      <c r="J543" s="37">
        <v>0</v>
      </c>
      <c r="K543" s="14"/>
      <c r="L543" s="14"/>
      <c r="M543" s="14"/>
      <c r="N543" s="81"/>
      <c r="O543" s="81"/>
      <c r="P543" s="81"/>
      <c r="Q543" s="81" t="str">
        <f t="shared" ref="Q543:Q544" si="321">$A$537&amp;C543&amp;"INC"</f>
        <v>MGEE2021INC</v>
      </c>
      <c r="R543" s="47">
        <f t="shared" ref="R543:R544" si="322">IF(SUM(E543:F543,H543)/D543&gt;1,1,SUM(E543:F543,H543)/D543)</f>
        <v>0.71722338738554403</v>
      </c>
      <c r="S543" s="47">
        <f t="shared" ref="S543:S544" si="323">SUM(E539,H539)/SUM(E539:F539,H539)</f>
        <v>0.69364884982158947</v>
      </c>
      <c r="T543" s="47">
        <f t="shared" ref="T543:T544" si="324">F543/SUM(E543:F543,H543)</f>
        <v>0.29875424957801394</v>
      </c>
      <c r="U543" s="28">
        <f t="shared" ref="U543:V544" si="325">IF(OR(ISBLANK($R543),ISBLANK(S543)),"NA",$R543*S543)</f>
        <v>0.49750117772512692</v>
      </c>
      <c r="V543" s="28">
        <f t="shared" si="325"/>
        <v>0.21427353487816939</v>
      </c>
      <c r="W543" s="28"/>
      <c r="X543" s="28"/>
    </row>
    <row r="544" spans="1:24" x14ac:dyDescent="0.4">
      <c r="A544" s="81"/>
      <c r="B544" s="137"/>
      <c r="C544" s="88">
        <v>2020</v>
      </c>
      <c r="D544" s="92">
        <f>SUM(E544:J544)</f>
        <v>109997</v>
      </c>
      <c r="E544" s="18">
        <v>57847</v>
      </c>
      <c r="F544" s="18">
        <v>19674</v>
      </c>
      <c r="G544" s="18">
        <v>33460</v>
      </c>
      <c r="H544" s="18">
        <v>-1</v>
      </c>
      <c r="I544" s="18">
        <v>-983</v>
      </c>
      <c r="J544" s="18">
        <v>0</v>
      </c>
      <c r="K544" s="14"/>
      <c r="L544" s="14"/>
      <c r="M544" s="14"/>
      <c r="N544" s="81"/>
      <c r="O544" s="81"/>
      <c r="P544" s="81"/>
      <c r="Q544" s="81" t="str">
        <f t="shared" si="321"/>
        <v>MGEE2020INC</v>
      </c>
      <c r="R544" s="47">
        <f t="shared" si="322"/>
        <v>0.7047464930861751</v>
      </c>
      <c r="S544" s="47">
        <f t="shared" si="323"/>
        <v>0.73183345013411949</v>
      </c>
      <c r="T544" s="47">
        <f t="shared" si="324"/>
        <v>0.25379256965944275</v>
      </c>
      <c r="U544" s="28">
        <f t="shared" si="325"/>
        <v>0.51575705750517686</v>
      </c>
      <c r="V544" s="28">
        <f t="shared" si="325"/>
        <v>0.17885942343882108</v>
      </c>
      <c r="W544" s="28"/>
      <c r="X544" s="28"/>
    </row>
    <row r="545" spans="1:24" x14ac:dyDescent="0.4">
      <c r="A545" s="81"/>
      <c r="B545" s="89"/>
      <c r="C545" s="88"/>
      <c r="D545" s="94"/>
      <c r="E545" s="37"/>
      <c r="F545" s="37"/>
      <c r="G545" s="37"/>
      <c r="H545" s="37"/>
      <c r="I545" s="37"/>
      <c r="J545" s="37"/>
      <c r="K545" s="14"/>
      <c r="L545" s="14"/>
      <c r="M545" s="14"/>
      <c r="N545" s="81"/>
      <c r="O545" s="81"/>
      <c r="P545" s="81"/>
      <c r="Q545" s="81"/>
      <c r="R545" s="81"/>
      <c r="S545" s="81"/>
      <c r="T545" s="81"/>
      <c r="U545" s="81"/>
      <c r="V545" s="81"/>
      <c r="W545" s="81"/>
      <c r="X545" s="81"/>
    </row>
    <row r="546" spans="1:24" ht="14.4" x14ac:dyDescent="0.55000000000000004">
      <c r="A546" s="81"/>
      <c r="B546" s="89"/>
      <c r="C546" s="136">
        <v>2022</v>
      </c>
      <c r="D546" s="153">
        <f>SUM(E546:J546)</f>
        <v>2517600</v>
      </c>
      <c r="E546" s="18">
        <v>1626373</v>
      </c>
      <c r="F546" s="18">
        <v>530733</v>
      </c>
      <c r="G546" s="18">
        <v>247841</v>
      </c>
      <c r="H546" s="18">
        <v>80642</v>
      </c>
      <c r="I546" s="18">
        <v>467112</v>
      </c>
      <c r="J546" s="18">
        <v>-435101</v>
      </c>
      <c r="K546" s="14"/>
      <c r="L546" s="14"/>
      <c r="M546" s="14"/>
      <c r="N546" s="81"/>
      <c r="O546" s="81"/>
      <c r="P546" s="81"/>
      <c r="Q546" s="81" t="str">
        <f>$A$537&amp;C546&amp;"ASSETS"</f>
        <v>MGEE2022ASSETS</v>
      </c>
      <c r="R546" s="47">
        <f>IF(SUM(E546:F546,H546)/D546&gt;1,1,SUM(E546:F546,H546)/D546)</f>
        <v>0.88884175405147758</v>
      </c>
      <c r="S546" s="47">
        <f>SUM(E546,H546)/SUM(E546:F546,H546)</f>
        <v>0.76282718161294305</v>
      </c>
      <c r="T546" s="220">
        <f>F546/SUM(E546:F546,H546)</f>
        <v>0.23717281838705698</v>
      </c>
      <c r="U546" s="28">
        <f>IF(OR(ISBLANK($R546),ISBLANK(S546)),"NA",$R546*S546)</f>
        <v>0.6780326501429933</v>
      </c>
      <c r="V546" s="28">
        <f>IF(OR(ISBLANK($R546),ISBLANK(T546)),"NA",$R546*T546)</f>
        <v>0.21080910390848426</v>
      </c>
      <c r="W546" s="81"/>
      <c r="X546" s="81"/>
    </row>
    <row r="547" spans="1:24" ht="14.4" x14ac:dyDescent="0.55000000000000004">
      <c r="A547" s="81"/>
      <c r="B547" s="89" t="s">
        <v>110</v>
      </c>
      <c r="C547" s="88">
        <v>2021</v>
      </c>
      <c r="D547" s="218">
        <f>SUM(E547:J547)</f>
        <v>2371906</v>
      </c>
      <c r="E547" s="37">
        <v>1525163</v>
      </c>
      <c r="F547" s="37">
        <v>485345</v>
      </c>
      <c r="G547" s="37">
        <v>252584</v>
      </c>
      <c r="H547" s="37">
        <v>75990</v>
      </c>
      <c r="I547" s="37">
        <v>467954</v>
      </c>
      <c r="J547" s="37">
        <v>-435130</v>
      </c>
      <c r="K547" s="14"/>
      <c r="L547" s="14"/>
      <c r="M547" s="14"/>
      <c r="N547" s="81"/>
      <c r="O547" s="81"/>
      <c r="P547" s="81"/>
      <c r="Q547" s="81" t="str">
        <f t="shared" ref="Q547:Q548" si="326">$A$537&amp;C547&amp;"ASSETS"</f>
        <v>MGEE2021ASSETS</v>
      </c>
      <c r="R547" s="47">
        <f t="shared" ref="R547:R548" si="327">IF(SUM(E547:F547,H547)/D547&gt;1,1,SUM(E547:F547,H547)/D547)</f>
        <v>0.87967145409641023</v>
      </c>
      <c r="S547" s="47">
        <f t="shared" ref="S547:S548" si="328">SUM(E547,H547)/SUM(E547:F547,H547)</f>
        <v>0.76738774731631665</v>
      </c>
      <c r="T547" s="220">
        <f t="shared" ref="T547:T548" si="329">F547/SUM(E547:F547,H547)</f>
        <v>0.23261225268368338</v>
      </c>
      <c r="U547" s="28">
        <f t="shared" ref="U547:V548" si="330">IF(OR(ISBLANK($R547),ISBLANK(S547)),"NA",$R547*S547)</f>
        <v>0.67504909553751291</v>
      </c>
      <c r="V547" s="28">
        <f t="shared" si="330"/>
        <v>0.20462235855889735</v>
      </c>
      <c r="W547" s="28"/>
      <c r="X547" s="28"/>
    </row>
    <row r="548" spans="1:24" ht="14.4" x14ac:dyDescent="0.55000000000000004">
      <c r="A548" s="81"/>
      <c r="B548" s="137"/>
      <c r="C548" s="88">
        <v>2020</v>
      </c>
      <c r="D548" s="92">
        <f>SUM(E548:J548)</f>
        <v>2253651</v>
      </c>
      <c r="E548" s="18">
        <v>1421302</v>
      </c>
      <c r="F548" s="18">
        <v>444702</v>
      </c>
      <c r="G548" s="18">
        <v>254298</v>
      </c>
      <c r="H548" s="18">
        <v>74480</v>
      </c>
      <c r="I548" s="18">
        <v>495483</v>
      </c>
      <c r="J548" s="18">
        <v>-436614</v>
      </c>
      <c r="K548" s="14"/>
      <c r="L548" s="14"/>
      <c r="M548" s="14"/>
      <c r="N548" s="81"/>
      <c r="O548" s="81"/>
      <c r="P548" s="81"/>
      <c r="Q548" s="81" t="str">
        <f t="shared" si="326"/>
        <v>MGEE2020ASSETS</v>
      </c>
      <c r="R548" s="47">
        <f t="shared" si="327"/>
        <v>0.86104015217972973</v>
      </c>
      <c r="S548" s="47">
        <f t="shared" si="328"/>
        <v>0.77082933948437604</v>
      </c>
      <c r="T548" s="220">
        <f t="shared" si="329"/>
        <v>0.22917066051562393</v>
      </c>
      <c r="U548" s="28">
        <f t="shared" si="330"/>
        <v>0.66371501177422765</v>
      </c>
      <c r="V548" s="28">
        <f t="shared" si="330"/>
        <v>0.197325140405502</v>
      </c>
      <c r="W548" s="28"/>
      <c r="X548" s="28"/>
    </row>
    <row r="552" spans="1:24" x14ac:dyDescent="0.4">
      <c r="A552" s="10" t="s">
        <v>64</v>
      </c>
      <c r="B552" s="11"/>
      <c r="C552" s="12"/>
      <c r="D552" s="13"/>
      <c r="E552" s="19"/>
      <c r="F552" s="19"/>
      <c r="G552" s="19"/>
      <c r="H552" s="19"/>
      <c r="I552" s="14"/>
      <c r="J552" s="14"/>
      <c r="K552" s="14"/>
      <c r="L552" s="14"/>
      <c r="M552" s="14"/>
      <c r="N552" s="13"/>
      <c r="O552" s="13"/>
      <c r="P552" s="13"/>
      <c r="Q552" s="13"/>
      <c r="R552" s="13"/>
      <c r="S552" s="13"/>
      <c r="T552" s="13"/>
      <c r="U552" s="13"/>
      <c r="V552" s="13"/>
      <c r="W552" s="13"/>
      <c r="X552" s="13"/>
    </row>
    <row r="553" spans="1:24" x14ac:dyDescent="0.4">
      <c r="A553" s="13" t="s">
        <v>467</v>
      </c>
      <c r="B553" s="11"/>
      <c r="C553" s="12"/>
      <c r="D553" s="13"/>
      <c r="E553" s="19"/>
      <c r="F553" s="19"/>
      <c r="G553" s="19"/>
      <c r="H553" s="19"/>
      <c r="I553" s="14"/>
      <c r="J553" s="14"/>
      <c r="K553" s="14"/>
      <c r="L553" s="14"/>
      <c r="M553" s="14"/>
      <c r="N553" s="13"/>
      <c r="O553" s="13"/>
      <c r="P553" s="13"/>
      <c r="Q553" s="13"/>
      <c r="R553" s="13"/>
      <c r="S553" s="13"/>
      <c r="T553" s="13"/>
      <c r="U553" s="13"/>
      <c r="V553" s="13"/>
      <c r="W553" s="13"/>
      <c r="X553" s="13"/>
    </row>
    <row r="554" spans="1:24" ht="36.9" x14ac:dyDescent="0.4">
      <c r="A554" s="221" t="s">
        <v>65</v>
      </c>
      <c r="B554" s="11" t="s">
        <v>187</v>
      </c>
      <c r="C554" s="12"/>
      <c r="D554" s="12" t="s">
        <v>96</v>
      </c>
      <c r="E554" s="26" t="s">
        <v>194</v>
      </c>
      <c r="F554" s="26" t="s">
        <v>195</v>
      </c>
      <c r="G554" s="26" t="s">
        <v>165</v>
      </c>
      <c r="I554" s="19"/>
      <c r="J554" s="14"/>
      <c r="K554" s="14"/>
      <c r="L554" s="14"/>
      <c r="M554" s="14"/>
      <c r="N554" s="14"/>
      <c r="O554" s="13"/>
      <c r="P554" s="13"/>
      <c r="Q554" s="20"/>
      <c r="R554" s="21" t="s">
        <v>102</v>
      </c>
      <c r="S554" s="21" t="s">
        <v>103</v>
      </c>
      <c r="T554" s="21" t="s">
        <v>104</v>
      </c>
      <c r="U554" s="21" t="s">
        <v>105</v>
      </c>
      <c r="V554" s="21" t="s">
        <v>106</v>
      </c>
      <c r="W554" s="22"/>
      <c r="X554" s="22"/>
    </row>
    <row r="555" spans="1:24" ht="14.4" x14ac:dyDescent="0.55000000000000004">
      <c r="A555" s="10"/>
      <c r="B555" s="11"/>
      <c r="C555" s="12">
        <v>2022</v>
      </c>
      <c r="D555" s="152">
        <f>SUM(E555:G555)</f>
        <v>20956000</v>
      </c>
      <c r="E555" s="26">
        <v>17282000</v>
      </c>
      <c r="F555" s="26">
        <v>3720000</v>
      </c>
      <c r="G555" s="26">
        <v>-46000</v>
      </c>
      <c r="I555" s="19"/>
      <c r="J555" s="14"/>
      <c r="K555" s="14"/>
      <c r="L555" s="14"/>
      <c r="M555" s="14"/>
      <c r="N555" s="14"/>
      <c r="O555" s="13"/>
      <c r="P555" s="13"/>
      <c r="Q555" s="13" t="str">
        <f>$A$554&amp;C555&amp;"REV"</f>
        <v>NEE2022REV</v>
      </c>
      <c r="R555" s="47">
        <f>IF(SUM(E555)/D555&gt;1,1,SUM(E555)/D555)</f>
        <v>0.8246802824966597</v>
      </c>
      <c r="S555" s="47">
        <f>SUM(E555)/SUM(E555)</f>
        <v>1</v>
      </c>
      <c r="T555" s="47">
        <v>0</v>
      </c>
      <c r="U555" s="128">
        <f t="shared" ref="U555:V557" si="331">IF(OR(ISBLANK($R555),ISBLANK(S555)),"NA",$R555*S555)</f>
        <v>0.8246802824966597</v>
      </c>
      <c r="V555" s="128">
        <f t="shared" si="331"/>
        <v>0</v>
      </c>
      <c r="W555" s="22"/>
      <c r="X555" s="22"/>
    </row>
    <row r="556" spans="1:24" x14ac:dyDescent="0.4">
      <c r="A556" s="13"/>
      <c r="B556" s="11" t="s">
        <v>107</v>
      </c>
      <c r="C556" s="88">
        <v>2021</v>
      </c>
      <c r="D556" s="23">
        <f>SUM(E556:G556)</f>
        <v>17069000</v>
      </c>
      <c r="E556" s="18">
        <v>14102000</v>
      </c>
      <c r="F556" s="18">
        <v>3053000</v>
      </c>
      <c r="G556" s="18">
        <v>-86000</v>
      </c>
      <c r="I556" s="19"/>
      <c r="J556" s="14"/>
      <c r="K556" s="14"/>
      <c r="L556" s="14"/>
      <c r="M556" s="14"/>
      <c r="N556" s="14"/>
      <c r="O556" s="13"/>
      <c r="P556" s="13"/>
      <c r="Q556" s="13" t="str">
        <f>$A$554&amp;C556&amp;"REV"</f>
        <v>NEE2021REV</v>
      </c>
      <c r="R556" s="47">
        <f t="shared" ref="R556:R557" si="332">IF(SUM(E556)/D556&gt;1,1,SUM(E556)/D556)</f>
        <v>0.82617610873513392</v>
      </c>
      <c r="S556" s="47">
        <f t="shared" ref="S556:S557" si="333">SUM(E556)/SUM(E556)</f>
        <v>1</v>
      </c>
      <c r="T556" s="47">
        <v>0</v>
      </c>
      <c r="U556" s="25">
        <f t="shared" si="331"/>
        <v>0.82617610873513392</v>
      </c>
      <c r="V556" s="25">
        <f t="shared" si="331"/>
        <v>0</v>
      </c>
      <c r="W556" s="25"/>
      <c r="X556" s="25"/>
    </row>
    <row r="557" spans="1:24" x14ac:dyDescent="0.4">
      <c r="A557" s="13"/>
      <c r="B557" s="137"/>
      <c r="C557" s="88">
        <v>2020</v>
      </c>
      <c r="D557" s="23">
        <f>SUM(E557:N557)</f>
        <v>17997000</v>
      </c>
      <c r="E557" s="26">
        <v>13060000</v>
      </c>
      <c r="F557" s="26">
        <v>5046000</v>
      </c>
      <c r="G557" s="26">
        <v>-109000</v>
      </c>
      <c r="I557" s="19"/>
      <c r="J557" s="14"/>
      <c r="K557" s="14"/>
      <c r="L557" s="14"/>
      <c r="M557" s="14"/>
      <c r="N557" s="14"/>
      <c r="O557" s="13"/>
      <c r="P557" s="13"/>
      <c r="Q557" s="13" t="str">
        <f>$A$554&amp;C557&amp;"REV"</f>
        <v>NEE2020REV</v>
      </c>
      <c r="R557" s="47">
        <f t="shared" si="332"/>
        <v>0.72567650163916209</v>
      </c>
      <c r="S557" s="47">
        <f t="shared" si="333"/>
        <v>1</v>
      </c>
      <c r="T557" s="47">
        <v>0</v>
      </c>
      <c r="U557" s="25">
        <f t="shared" si="331"/>
        <v>0.72567650163916209</v>
      </c>
      <c r="V557" s="25">
        <f t="shared" si="331"/>
        <v>0</v>
      </c>
      <c r="W557" s="25"/>
      <c r="X557" s="25"/>
    </row>
    <row r="558" spans="1:24" x14ac:dyDescent="0.4">
      <c r="A558" s="13"/>
      <c r="B558" s="11"/>
      <c r="C558" s="12"/>
      <c r="D558" s="13"/>
      <c r="E558" s="24"/>
      <c r="F558" s="24"/>
      <c r="G558" s="24"/>
      <c r="I558" s="19"/>
      <c r="J558" s="14"/>
      <c r="K558" s="14"/>
      <c r="L558" s="14"/>
      <c r="M558" s="14"/>
      <c r="N558" s="14"/>
      <c r="O558" s="13"/>
      <c r="P558" s="13"/>
      <c r="Q558" s="13"/>
      <c r="R558" s="13"/>
      <c r="S558" s="13"/>
      <c r="T558" s="13"/>
      <c r="U558" s="13"/>
      <c r="V558" s="13"/>
      <c r="W558" s="13"/>
      <c r="X558" s="13"/>
    </row>
    <row r="559" spans="1:24" ht="14.4" x14ac:dyDescent="0.55000000000000004">
      <c r="A559" s="13"/>
      <c r="B559" s="11"/>
      <c r="C559" s="12">
        <v>2022</v>
      </c>
      <c r="D559" s="45">
        <f>SUM(E559:G559)</f>
        <v>3559000</v>
      </c>
      <c r="E559" s="24">
        <f>17282000-11992000</f>
        <v>5290000</v>
      </c>
      <c r="F559" s="24">
        <f>3720000-5140000</f>
        <v>-1420000</v>
      </c>
      <c r="G559" s="24">
        <f>-46000-265000</f>
        <v>-311000</v>
      </c>
      <c r="I559" s="19"/>
      <c r="J559" s="14"/>
      <c r="K559" s="14"/>
      <c r="L559" s="14"/>
      <c r="M559" s="14"/>
      <c r="N559" s="14"/>
      <c r="O559" s="13"/>
      <c r="P559" s="13"/>
      <c r="Q559" s="13" t="str">
        <f>$A$554&amp;C559&amp;"INC"</f>
        <v>NEE2022INC</v>
      </c>
      <c r="R559" s="47">
        <f>IF(SUM(E559)/D559&gt;1,1,SUM(E559)/D559)</f>
        <v>1</v>
      </c>
      <c r="S559" s="47">
        <f>SUM(E559)/SUM(E559)</f>
        <v>1</v>
      </c>
      <c r="T559" s="47">
        <v>0</v>
      </c>
      <c r="U559" s="128">
        <f t="shared" ref="U559:V561" si="334">IF(OR(ISBLANK($R559),ISBLANK(S559)),"NA",$R559*S559)</f>
        <v>1</v>
      </c>
      <c r="V559" s="128">
        <f t="shared" si="334"/>
        <v>0</v>
      </c>
      <c r="W559" s="13"/>
      <c r="X559" s="13"/>
    </row>
    <row r="560" spans="1:24" x14ac:dyDescent="0.4">
      <c r="A560" s="13"/>
      <c r="B560" s="11" t="s">
        <v>109</v>
      </c>
      <c r="C560" s="88">
        <v>2021</v>
      </c>
      <c r="D560" s="23">
        <f>SUM(E560:N560)</f>
        <v>2836000</v>
      </c>
      <c r="E560" s="18">
        <f>14102000-9587000</f>
        <v>4515000</v>
      </c>
      <c r="F560" s="18">
        <f>3053000-4434000</f>
        <v>-1381000</v>
      </c>
      <c r="G560" s="18">
        <f>-86000-212000</f>
        <v>-298000</v>
      </c>
      <c r="I560" s="19"/>
      <c r="J560" s="14"/>
      <c r="K560" s="14"/>
      <c r="L560" s="14"/>
      <c r="M560" s="14"/>
      <c r="N560" s="14"/>
      <c r="O560" s="13"/>
      <c r="P560" s="13"/>
      <c r="Q560" s="13" t="str">
        <f>$A$554&amp;C560&amp;"INC"</f>
        <v>NEE2021INC</v>
      </c>
      <c r="R560" s="47">
        <f t="shared" ref="R560:R561" si="335">IF(SUM(E560)/D560&gt;1,1,SUM(E560)/D560)</f>
        <v>1</v>
      </c>
      <c r="S560" s="47">
        <f t="shared" ref="S560:S561" si="336">SUM(E560)/SUM(E560)</f>
        <v>1</v>
      </c>
      <c r="T560" s="47">
        <v>0</v>
      </c>
      <c r="U560" s="25">
        <f t="shared" si="334"/>
        <v>1</v>
      </c>
      <c r="V560" s="25">
        <f t="shared" si="334"/>
        <v>0</v>
      </c>
      <c r="W560" s="25"/>
      <c r="X560" s="25"/>
    </row>
    <row r="561" spans="1:24" x14ac:dyDescent="0.4">
      <c r="A561" s="13"/>
      <c r="B561" s="137"/>
      <c r="C561" s="88">
        <v>2020</v>
      </c>
      <c r="D561" s="23">
        <f>SUM(E561:N561)</f>
        <v>4763000</v>
      </c>
      <c r="E561" s="24">
        <f>13060000-8940000</f>
        <v>4120000</v>
      </c>
      <c r="F561" s="24">
        <f>5046000-4125000</f>
        <v>921000</v>
      </c>
      <c r="G561" s="24">
        <f>-109000-169000</f>
        <v>-278000</v>
      </c>
      <c r="I561" s="19"/>
      <c r="J561" s="14"/>
      <c r="K561" s="14"/>
      <c r="L561" s="14"/>
      <c r="M561" s="14"/>
      <c r="N561" s="14"/>
      <c r="O561" s="13"/>
      <c r="P561" s="13"/>
      <c r="Q561" s="13" t="str">
        <f>$A$554&amp;C561&amp;"INC"</f>
        <v>NEE2020INC</v>
      </c>
      <c r="R561" s="47">
        <f t="shared" si="335"/>
        <v>0.86500104975855552</v>
      </c>
      <c r="S561" s="47">
        <f t="shared" si="336"/>
        <v>1</v>
      </c>
      <c r="T561" s="47">
        <v>0</v>
      </c>
      <c r="U561" s="25">
        <f t="shared" si="334"/>
        <v>0.86500104975855552</v>
      </c>
      <c r="V561" s="25">
        <f t="shared" si="334"/>
        <v>0</v>
      </c>
      <c r="W561" s="25"/>
      <c r="X561" s="25"/>
    </row>
    <row r="562" spans="1:24" x14ac:dyDescent="0.4">
      <c r="A562" s="13"/>
      <c r="B562" s="11"/>
      <c r="C562" s="12"/>
      <c r="D562" s="46"/>
      <c r="E562" s="46"/>
      <c r="F562" s="46"/>
      <c r="G562" s="46"/>
      <c r="I562" s="19"/>
      <c r="J562" s="14"/>
      <c r="K562" s="14"/>
      <c r="L562" s="14"/>
      <c r="M562" s="14"/>
      <c r="N562" s="14"/>
      <c r="O562" s="13"/>
      <c r="P562" s="13"/>
      <c r="Q562" s="13"/>
      <c r="R562" s="13"/>
      <c r="S562" s="13"/>
      <c r="T562" s="13"/>
      <c r="U562" s="13"/>
      <c r="V562" s="13"/>
      <c r="W562" s="13"/>
      <c r="X562" s="13"/>
    </row>
    <row r="563" spans="1:24" ht="14.4" x14ac:dyDescent="0.55000000000000004">
      <c r="A563" s="13"/>
      <c r="B563" s="11"/>
      <c r="C563" s="12">
        <v>2022</v>
      </c>
      <c r="D563" s="159">
        <f>SUM(E563:G563)</f>
        <v>158935000</v>
      </c>
      <c r="E563" s="159">
        <v>86559000</v>
      </c>
      <c r="F563" s="159">
        <v>70713000</v>
      </c>
      <c r="G563" s="159">
        <v>1663000</v>
      </c>
      <c r="I563" s="19"/>
      <c r="J563" s="14"/>
      <c r="K563" s="14"/>
      <c r="L563" s="14"/>
      <c r="M563" s="14"/>
      <c r="N563" s="14"/>
      <c r="O563" s="13"/>
      <c r="P563" s="13"/>
      <c r="Q563" s="13" t="str">
        <f>$A$554&amp;C563&amp;"ASSETS"</f>
        <v>NEE2022ASSETS</v>
      </c>
      <c r="R563" s="47">
        <f>IF(SUM(E563)/D563&gt;1,1,SUM(E563)/D563)</f>
        <v>0.54461886934910497</v>
      </c>
      <c r="S563" s="47">
        <f>SUM(E563)/SUM(E563)</f>
        <v>1</v>
      </c>
      <c r="T563" s="47">
        <v>0</v>
      </c>
      <c r="U563" s="128">
        <f t="shared" ref="U563:V565" si="337">IF(OR(ISBLANK($R563),ISBLANK(S563)),"NA",$R563*S563)</f>
        <v>0.54461886934910497</v>
      </c>
      <c r="V563" s="128">
        <f t="shared" si="337"/>
        <v>0</v>
      </c>
      <c r="W563" s="13"/>
      <c r="X563" s="13"/>
    </row>
    <row r="564" spans="1:24" x14ac:dyDescent="0.4">
      <c r="A564" s="13"/>
      <c r="B564" s="11" t="s">
        <v>110</v>
      </c>
      <c r="C564" s="88">
        <v>2021</v>
      </c>
      <c r="D564" s="23">
        <f>SUM(E564:N564)</f>
        <v>140912000</v>
      </c>
      <c r="E564" s="18">
        <v>78067000</v>
      </c>
      <c r="F564" s="18">
        <v>62113000</v>
      </c>
      <c r="G564" s="18">
        <v>732000</v>
      </c>
      <c r="I564" s="19"/>
      <c r="J564" s="14"/>
      <c r="K564" s="14"/>
      <c r="L564" s="14"/>
      <c r="M564" s="14"/>
      <c r="N564" s="14"/>
      <c r="O564" s="13"/>
      <c r="P564" s="13"/>
      <c r="Q564" s="13" t="str">
        <f>$A$554&amp;C564&amp;"ASSETS"</f>
        <v>NEE2021ASSETS</v>
      </c>
      <c r="R564" s="47">
        <f t="shared" ref="R564:R565" si="338">IF(SUM(E564)/D564&gt;1,1,SUM(E564)/D564)</f>
        <v>0.5540124332916998</v>
      </c>
      <c r="S564" s="47">
        <f t="shared" ref="S564:S565" si="339">SUM(E564)/SUM(E564)</f>
        <v>1</v>
      </c>
      <c r="T564" s="47">
        <v>0</v>
      </c>
      <c r="U564" s="25">
        <f t="shared" si="337"/>
        <v>0.5540124332916998</v>
      </c>
      <c r="V564" s="25">
        <f t="shared" si="337"/>
        <v>0</v>
      </c>
      <c r="W564" s="25"/>
      <c r="X564" s="25"/>
    </row>
    <row r="565" spans="1:24" x14ac:dyDescent="0.4">
      <c r="A565" s="13"/>
      <c r="B565" s="137"/>
      <c r="C565" s="88">
        <v>2020</v>
      </c>
      <c r="D565" s="23">
        <f>SUM(E565:N565)</f>
        <v>127684000</v>
      </c>
      <c r="E565" s="24">
        <v>71001000</v>
      </c>
      <c r="F565" s="24">
        <v>55633000</v>
      </c>
      <c r="G565" s="24">
        <v>1050000</v>
      </c>
      <c r="I565" s="19"/>
      <c r="J565" s="14"/>
      <c r="K565" s="14"/>
      <c r="L565" s="14"/>
      <c r="M565" s="14"/>
      <c r="N565" s="14"/>
      <c r="O565" s="13"/>
      <c r="P565" s="13"/>
      <c r="Q565" s="13" t="str">
        <f>$A$554&amp;C565&amp;"ASSETS"</f>
        <v>NEE2020ASSETS</v>
      </c>
      <c r="R565" s="47">
        <f t="shared" si="338"/>
        <v>0.55606810563578835</v>
      </c>
      <c r="S565" s="47">
        <f t="shared" si="339"/>
        <v>1</v>
      </c>
      <c r="T565" s="47">
        <v>0</v>
      </c>
      <c r="U565" s="25">
        <f t="shared" si="337"/>
        <v>0.55606810563578835</v>
      </c>
      <c r="V565" s="25">
        <f t="shared" si="337"/>
        <v>0</v>
      </c>
      <c r="W565" s="25"/>
      <c r="X565" s="25"/>
    </row>
    <row r="569" spans="1:24" x14ac:dyDescent="0.4">
      <c r="A569" s="10" t="s">
        <v>66</v>
      </c>
      <c r="B569" s="11"/>
      <c r="C569" s="12"/>
      <c r="D569" s="13"/>
      <c r="E569" s="24"/>
      <c r="F569" s="24"/>
      <c r="G569" s="24"/>
      <c r="H569" s="24"/>
      <c r="I569" s="14"/>
      <c r="J569" s="14"/>
      <c r="K569" s="14"/>
      <c r="L569" s="14"/>
      <c r="M569" s="14"/>
      <c r="N569" s="13"/>
      <c r="O569" s="13"/>
      <c r="P569" s="13"/>
      <c r="Q569" s="13"/>
      <c r="R569" s="13"/>
      <c r="S569" s="13"/>
      <c r="T569" s="13"/>
      <c r="U569" s="13"/>
      <c r="V569" s="13"/>
      <c r="W569" s="13"/>
      <c r="X569" s="13"/>
    </row>
    <row r="570" spans="1:24" x14ac:dyDescent="0.4">
      <c r="A570" s="13" t="s">
        <v>468</v>
      </c>
      <c r="B570" s="11"/>
      <c r="C570" s="12"/>
      <c r="D570" s="13"/>
      <c r="E570" s="24"/>
      <c r="F570" s="24"/>
      <c r="G570" s="24"/>
      <c r="H570" s="24"/>
      <c r="I570" s="14"/>
      <c r="J570" s="14"/>
      <c r="K570" s="14"/>
      <c r="L570" s="14"/>
      <c r="M570" s="14"/>
      <c r="N570" s="13"/>
      <c r="O570" s="13"/>
      <c r="P570" s="13"/>
      <c r="Q570" s="13"/>
      <c r="R570" s="13"/>
      <c r="S570" s="13"/>
      <c r="T570" s="13"/>
      <c r="U570" s="13"/>
      <c r="V570" s="13"/>
      <c r="W570" s="13"/>
      <c r="X570" s="13"/>
    </row>
    <row r="571" spans="1:24" ht="36.9" x14ac:dyDescent="0.4">
      <c r="A571" s="222" t="s">
        <v>67</v>
      </c>
      <c r="B571" s="11" t="s">
        <v>187</v>
      </c>
      <c r="C571" s="22"/>
      <c r="D571" s="22" t="s">
        <v>96</v>
      </c>
      <c r="E571" s="26" t="s">
        <v>196</v>
      </c>
      <c r="F571" s="26" t="s">
        <v>197</v>
      </c>
      <c r="G571" s="26" t="s">
        <v>130</v>
      </c>
      <c r="H571" s="26" t="s">
        <v>101</v>
      </c>
      <c r="I571" s="14"/>
      <c r="J571" s="14"/>
      <c r="K571" s="14"/>
      <c r="L571" s="14"/>
      <c r="M571" s="14"/>
      <c r="N571" s="13"/>
      <c r="O571" s="13"/>
      <c r="P571" s="13"/>
      <c r="Q571" s="20"/>
      <c r="R571" s="21" t="s">
        <v>102</v>
      </c>
      <c r="S571" s="21" t="s">
        <v>103</v>
      </c>
      <c r="T571" s="21" t="s">
        <v>104</v>
      </c>
      <c r="U571" s="21" t="s">
        <v>105</v>
      </c>
      <c r="V571" s="21" t="s">
        <v>106</v>
      </c>
      <c r="W571" s="22"/>
      <c r="X571" s="22"/>
    </row>
    <row r="572" spans="1:24" ht="14.4" x14ac:dyDescent="0.55000000000000004">
      <c r="A572" s="96"/>
      <c r="B572" s="11"/>
      <c r="C572" s="22">
        <v>2022</v>
      </c>
      <c r="D572" s="207">
        <f>SUM(E572:H572)</f>
        <v>1477837</v>
      </c>
      <c r="E572" s="26">
        <v>1106565</v>
      </c>
      <c r="F572" s="26">
        <v>371272</v>
      </c>
      <c r="G572" s="26">
        <v>0</v>
      </c>
      <c r="H572" s="26">
        <v>0</v>
      </c>
      <c r="I572" s="14"/>
      <c r="J572" s="14"/>
      <c r="K572" s="14"/>
      <c r="L572" s="14"/>
      <c r="M572" s="14"/>
      <c r="N572" s="13"/>
      <c r="O572" s="13"/>
      <c r="P572" s="13"/>
      <c r="Q572" s="13" t="str">
        <f>$A$571&amp;C572&amp;"REV"</f>
        <v>NWE2022REV</v>
      </c>
      <c r="R572" s="47">
        <f>IF(SUM(E572:F572)/D572&gt;1,1,SUM(E572:F572)/D572)</f>
        <v>1</v>
      </c>
      <c r="S572" s="47">
        <f>E572/SUM(E572:F572)</f>
        <v>0.74877337622484752</v>
      </c>
      <c r="T572" s="47">
        <f>F572/SUM(E572:F572)</f>
        <v>0.25122662377515248</v>
      </c>
      <c r="U572" s="128">
        <f t="shared" ref="U572:V574" si="340">IF(OR(ISBLANK($R572),ISBLANK(S572)),"NA",$R572*S572)</f>
        <v>0.74877337622484752</v>
      </c>
      <c r="V572" s="128">
        <f t="shared" si="340"/>
        <v>0.25122662377515248</v>
      </c>
      <c r="W572" s="22"/>
      <c r="X572" s="22"/>
    </row>
    <row r="573" spans="1:24" x14ac:dyDescent="0.4">
      <c r="A573" s="42"/>
      <c r="B573" s="11" t="s">
        <v>107</v>
      </c>
      <c r="C573" s="88">
        <v>2021</v>
      </c>
      <c r="D573" s="207">
        <f>SUM(E573:H573)</f>
        <v>1372316</v>
      </c>
      <c r="E573" s="26">
        <v>1052182</v>
      </c>
      <c r="F573" s="26">
        <v>320134</v>
      </c>
      <c r="G573" s="26">
        <v>0</v>
      </c>
      <c r="H573" s="26">
        <v>0</v>
      </c>
      <c r="I573" s="14"/>
      <c r="J573" s="14"/>
      <c r="K573" s="14"/>
      <c r="L573" s="14"/>
      <c r="M573" s="14"/>
      <c r="N573" s="13"/>
      <c r="O573" s="13"/>
      <c r="P573" s="13"/>
      <c r="Q573" s="13" t="str">
        <f>$A$571&amp;C573&amp;"REV"</f>
        <v>NWE2021REV</v>
      </c>
      <c r="R573" s="47">
        <f>IF(SUM(E573:F573)/D573&gt;1,1,SUM(E573:F573)/D573)</f>
        <v>1</v>
      </c>
      <c r="S573" s="47">
        <f>E573/SUM(E573:F573)</f>
        <v>0.76671990999157624</v>
      </c>
      <c r="T573" s="47">
        <f>F573/SUM(E573:F573)</f>
        <v>0.23328009000842373</v>
      </c>
      <c r="U573" s="25">
        <f t="shared" si="340"/>
        <v>0.76671990999157624</v>
      </c>
      <c r="V573" s="25">
        <f t="shared" si="340"/>
        <v>0.23328009000842373</v>
      </c>
      <c r="W573" s="25"/>
      <c r="X573" s="25"/>
    </row>
    <row r="574" spans="1:24" x14ac:dyDescent="0.4">
      <c r="A574" s="13"/>
      <c r="B574" s="137"/>
      <c r="C574" s="88">
        <v>2020</v>
      </c>
      <c r="D574" s="23">
        <f>SUM(E574:M574)</f>
        <v>1198670</v>
      </c>
      <c r="E574" s="26">
        <v>940815</v>
      </c>
      <c r="F574" s="26">
        <v>257855</v>
      </c>
      <c r="G574" s="26">
        <v>0</v>
      </c>
      <c r="H574" s="26">
        <v>0</v>
      </c>
      <c r="I574" s="14"/>
      <c r="J574" s="14"/>
      <c r="K574" s="14"/>
      <c r="L574" s="14"/>
      <c r="M574" s="14"/>
      <c r="N574" s="13"/>
      <c r="O574" s="13"/>
      <c r="P574" s="13"/>
      <c r="Q574" s="13" t="str">
        <f t="shared" ref="Q574" si="341">$A$571&amp;C574&amp;"REV"</f>
        <v>NWE2020REV</v>
      </c>
      <c r="R574" s="47">
        <f t="shared" ref="R574" si="342">IF(SUM(E574:F574)/D574&gt;1,1,SUM(E574:F574)/D574)</f>
        <v>1</v>
      </c>
      <c r="S574" s="47">
        <f>E574/SUM(E574:F574)</f>
        <v>0.78488241133923431</v>
      </c>
      <c r="T574" s="47">
        <f>F574/SUM(E574:F574)</f>
        <v>0.21511758866076569</v>
      </c>
      <c r="U574" s="25">
        <f t="shared" si="340"/>
        <v>0.78488241133923431</v>
      </c>
      <c r="V574" s="25">
        <f t="shared" si="340"/>
        <v>0.21511758866076569</v>
      </c>
      <c r="W574" s="25"/>
      <c r="X574" s="25"/>
    </row>
    <row r="575" spans="1:24" x14ac:dyDescent="0.4">
      <c r="A575" s="13"/>
      <c r="B575" s="11"/>
      <c r="C575" s="12"/>
      <c r="D575" s="13"/>
      <c r="E575" s="24"/>
      <c r="F575" s="24"/>
      <c r="G575" s="24"/>
      <c r="H575" s="24"/>
      <c r="I575" s="14"/>
      <c r="J575" s="14"/>
      <c r="K575" s="14"/>
      <c r="L575" s="14"/>
      <c r="M575" s="14"/>
      <c r="N575" s="13"/>
      <c r="O575" s="13"/>
      <c r="P575" s="13"/>
      <c r="Q575" s="13"/>
      <c r="R575" s="13"/>
      <c r="S575" s="13"/>
      <c r="T575" s="13"/>
      <c r="U575" s="13"/>
      <c r="V575" s="13"/>
      <c r="X575" s="13"/>
    </row>
    <row r="576" spans="1:24" ht="14.4" x14ac:dyDescent="0.55000000000000004">
      <c r="A576" s="13"/>
      <c r="B576" s="11"/>
      <c r="C576" s="12">
        <v>2022</v>
      </c>
      <c r="D576" s="45">
        <f>SUM(E576:H576)</f>
        <v>263079</v>
      </c>
      <c r="E576" s="24">
        <v>219743</v>
      </c>
      <c r="F576" s="24">
        <v>43714</v>
      </c>
      <c r="G576" s="24">
        <v>-378</v>
      </c>
      <c r="H576" s="24">
        <v>0</v>
      </c>
      <c r="I576" s="14"/>
      <c r="J576" s="14"/>
      <c r="K576" s="14"/>
      <c r="L576" s="14"/>
      <c r="M576" s="14"/>
      <c r="N576" s="13"/>
      <c r="O576" s="13"/>
      <c r="P576" s="13"/>
      <c r="Q576" s="13" t="str">
        <f>$A$571&amp;C576&amp;"INC"</f>
        <v>NWE2022INC</v>
      </c>
      <c r="R576" s="47">
        <f>IF(SUM(E576:F576)/D576&gt;1,1,SUM(E576:F576)/D576)</f>
        <v>1</v>
      </c>
      <c r="S576" s="47">
        <f>E576/SUM(E576:F576)</f>
        <v>0.83407538991182617</v>
      </c>
      <c r="T576" s="47">
        <f>F576/SUM(E576:F576)</f>
        <v>0.16592461008817377</v>
      </c>
      <c r="U576" s="128">
        <f t="shared" ref="U576:V578" si="343">IF(OR(ISBLANK($R576),ISBLANK(S576)),"NA",$R576*S576)</f>
        <v>0.83407538991182617</v>
      </c>
      <c r="V576" s="128">
        <f t="shared" si="343"/>
        <v>0.16592461008817377</v>
      </c>
      <c r="X576" s="13"/>
    </row>
    <row r="577" spans="1:26" x14ac:dyDescent="0.4">
      <c r="A577" s="13"/>
      <c r="B577" s="11" t="s">
        <v>109</v>
      </c>
      <c r="C577" s="88">
        <v>2021</v>
      </c>
      <c r="D577" s="45">
        <f>SUM(E577:H577)</f>
        <v>275681</v>
      </c>
      <c r="E577" s="24">
        <v>238802</v>
      </c>
      <c r="F577" s="24">
        <v>38569</v>
      </c>
      <c r="G577" s="24">
        <v>-1690</v>
      </c>
      <c r="H577" s="24">
        <v>0</v>
      </c>
      <c r="I577" s="14"/>
      <c r="J577" s="14"/>
      <c r="K577" s="14"/>
      <c r="L577" s="14"/>
      <c r="M577" s="14"/>
      <c r="N577" s="13"/>
      <c r="O577" s="13"/>
      <c r="P577" s="13"/>
      <c r="Q577" s="13" t="str">
        <f>$A$571&amp;C577&amp;"INC"</f>
        <v>NWE2021INC</v>
      </c>
      <c r="R577" s="47">
        <f t="shared" ref="R577" si="344">IF(SUM(E577:F577)/D577&gt;1,1,SUM(E577:F577)/D577)</f>
        <v>1</v>
      </c>
      <c r="S577" s="47">
        <f>E577/SUM(E577:F577)</f>
        <v>0.86094797221050512</v>
      </c>
      <c r="T577" s="47">
        <f>F577/SUM(E577:F577)</f>
        <v>0.13905202778949494</v>
      </c>
      <c r="U577" s="25">
        <f t="shared" si="343"/>
        <v>0.86094797221050512</v>
      </c>
      <c r="V577" s="25">
        <f t="shared" si="343"/>
        <v>0.13905202778949494</v>
      </c>
      <c r="W577" s="178"/>
      <c r="X577" s="25"/>
    </row>
    <row r="578" spans="1:26" x14ac:dyDescent="0.4">
      <c r="A578" s="13"/>
      <c r="B578" s="137"/>
      <c r="C578" s="88">
        <v>2020</v>
      </c>
      <c r="D578" s="23">
        <f>SUM(E578:H578)</f>
        <v>236204</v>
      </c>
      <c r="E578" s="24">
        <v>196823</v>
      </c>
      <c r="F578" s="24">
        <v>37601</v>
      </c>
      <c r="G578" s="24">
        <v>1780</v>
      </c>
      <c r="H578" s="24">
        <v>0</v>
      </c>
      <c r="I578" s="14"/>
      <c r="J578" s="14"/>
      <c r="K578" s="14"/>
      <c r="L578" s="14"/>
      <c r="M578" s="14"/>
      <c r="N578" s="13"/>
      <c r="O578" s="13"/>
      <c r="P578" s="13"/>
      <c r="Q578" s="13" t="str">
        <f t="shared" ref="Q578" si="345">$A$571&amp;C578&amp;"INC"</f>
        <v>NWE2020INC</v>
      </c>
      <c r="R578" s="47">
        <f>IF(SUM(E578:F578)/D578&gt;1,1,SUM(E578:F578)/D578)</f>
        <v>0.9924641411661107</v>
      </c>
      <c r="S578" s="47">
        <f>E578/SUM(E578:F578)</f>
        <v>0.83960260041633961</v>
      </c>
      <c r="T578" s="47">
        <f>F578/SUM(E578:F578)</f>
        <v>0.16039739958366037</v>
      </c>
      <c r="U578" s="25">
        <f t="shared" si="343"/>
        <v>0.83327547374303568</v>
      </c>
      <c r="V578" s="25">
        <f t="shared" si="343"/>
        <v>0.15918866742307497</v>
      </c>
      <c r="W578" s="178"/>
      <c r="X578" s="25"/>
    </row>
    <row r="579" spans="1:26" x14ac:dyDescent="0.4">
      <c r="A579" s="13"/>
      <c r="B579" s="11"/>
      <c r="C579" s="12"/>
      <c r="D579" s="23"/>
      <c r="E579" s="24"/>
      <c r="F579" s="24"/>
      <c r="G579" s="24"/>
      <c r="H579" s="24">
        <v>0</v>
      </c>
      <c r="I579" s="14"/>
      <c r="J579" s="14"/>
      <c r="K579" s="14"/>
      <c r="L579" s="14"/>
      <c r="M579" s="14"/>
      <c r="N579" s="13"/>
      <c r="O579" s="13"/>
      <c r="P579" s="13"/>
      <c r="Q579" s="13"/>
      <c r="R579" s="13"/>
      <c r="S579" s="13"/>
      <c r="T579" s="13"/>
      <c r="U579" s="13"/>
      <c r="V579" s="13"/>
      <c r="W579" s="13"/>
      <c r="X579" s="13"/>
    </row>
    <row r="580" spans="1:26" ht="14.4" x14ac:dyDescent="0.55000000000000004">
      <c r="A580" s="13"/>
      <c r="B580" s="11"/>
      <c r="C580" s="12">
        <v>2022</v>
      </c>
      <c r="D580" s="223">
        <f>SUM(E580:H580)</f>
        <v>7317783</v>
      </c>
      <c r="E580" s="159">
        <v>5892508</v>
      </c>
      <c r="F580" s="24">
        <v>1418059</v>
      </c>
      <c r="G580" s="24">
        <v>7216</v>
      </c>
      <c r="H580" s="24">
        <v>0</v>
      </c>
      <c r="I580" s="14"/>
      <c r="J580" s="14"/>
      <c r="K580" s="14"/>
      <c r="L580" s="14"/>
      <c r="M580" s="14"/>
      <c r="N580" s="13"/>
      <c r="O580" s="13"/>
      <c r="P580" s="13"/>
      <c r="Q580" s="13" t="str">
        <f>$A$571&amp;C580&amp;"ASSETS"</f>
        <v>NWE2022ASSETS</v>
      </c>
      <c r="R580" s="47">
        <f>IF(SUM(E580:F580)/D580&gt;1,1,SUM(E580:F580)/D580)</f>
        <v>0.99901390899402187</v>
      </c>
      <c r="S580" s="47">
        <f>E580/SUM(E580:F580)</f>
        <v>0.80602612629088821</v>
      </c>
      <c r="T580" s="47">
        <f>F580/SUM(E580:F580)</f>
        <v>0.19397387370911176</v>
      </c>
      <c r="U580" s="128">
        <f t="shared" ref="U580:V582" si="346">IF(OR(ISBLANK($R580),ISBLANK(S580)),"NA",$R580*S580)</f>
        <v>0.8052313111771694</v>
      </c>
      <c r="V580" s="128">
        <f t="shared" si="346"/>
        <v>0.19378259781685248</v>
      </c>
      <c r="W580" s="13"/>
      <c r="X580" s="13"/>
    </row>
    <row r="581" spans="1:26" x14ac:dyDescent="0.4">
      <c r="A581" s="13"/>
      <c r="B581" s="11" t="s">
        <v>110</v>
      </c>
      <c r="C581" s="88">
        <v>2021</v>
      </c>
      <c r="D581" s="23">
        <f t="shared" ref="D581" si="347">SUM(E581:M581)</f>
        <v>6780443</v>
      </c>
      <c r="E581" s="159">
        <v>5432578</v>
      </c>
      <c r="F581" s="24">
        <v>1342031</v>
      </c>
      <c r="G581" s="24">
        <v>5834</v>
      </c>
      <c r="H581" s="24">
        <v>0</v>
      </c>
      <c r="I581" s="14"/>
      <c r="J581" s="14"/>
      <c r="K581" s="14"/>
      <c r="L581" s="14"/>
      <c r="M581" s="14"/>
      <c r="N581" s="13"/>
      <c r="O581" s="13"/>
      <c r="P581" s="13"/>
      <c r="Q581" s="13" t="str">
        <f>$A$571&amp;C581&amp;"ASSETS"</f>
        <v>NWE2021ASSETS</v>
      </c>
      <c r="R581" s="47">
        <f>IF(SUM(E581:F581)/D581&gt;1,1,SUM(E581:F581)/D581)</f>
        <v>0.99913958424250449</v>
      </c>
      <c r="S581" s="47">
        <f>E581/SUM(E581:F581)</f>
        <v>0.80190281092237203</v>
      </c>
      <c r="T581" s="47">
        <f>F581/SUM(E581:F581)</f>
        <v>0.19809718907762794</v>
      </c>
      <c r="U581" s="25">
        <f t="shared" si="346"/>
        <v>0.8012128411078745</v>
      </c>
      <c r="V581" s="25">
        <f t="shared" si="346"/>
        <v>0.19792674313462999</v>
      </c>
      <c r="W581" s="25"/>
      <c r="X581" s="25"/>
    </row>
    <row r="582" spans="1:26" x14ac:dyDescent="0.4">
      <c r="A582" s="13"/>
      <c r="B582" s="137"/>
      <c r="C582" s="88">
        <v>2020</v>
      </c>
      <c r="D582" s="23">
        <f t="shared" ref="D582" si="348">SUM(E582:M582)</f>
        <v>6389449</v>
      </c>
      <c r="E582" s="29">
        <v>4638274</v>
      </c>
      <c r="F582" s="29">
        <v>1739555</v>
      </c>
      <c r="G582" s="29">
        <v>11620</v>
      </c>
      <c r="H582" s="29">
        <v>0</v>
      </c>
      <c r="I582" s="14"/>
      <c r="J582" s="14"/>
      <c r="K582" s="14"/>
      <c r="L582" s="14"/>
      <c r="M582" s="14"/>
      <c r="N582" s="13"/>
      <c r="O582" s="13"/>
      <c r="P582" s="13"/>
      <c r="Q582" s="13" t="str">
        <f t="shared" ref="Q582" si="349">$A$571&amp;C582&amp;"ASSETS"</f>
        <v>NWE2020ASSETS</v>
      </c>
      <c r="R582" s="47">
        <f t="shared" ref="R582" si="350">IF(SUM(E582:F582)/D582&gt;1,1,SUM(E582:F582)/D582)</f>
        <v>0.99818137682920705</v>
      </c>
      <c r="S582" s="47">
        <f>E582/SUM(E582:F582)</f>
        <v>0.72724966442342687</v>
      </c>
      <c r="T582" s="47">
        <f>F582/SUM(E582:F582)</f>
        <v>0.27275033557657313</v>
      </c>
      <c r="U582" s="25">
        <f t="shared" si="346"/>
        <v>0.72592707133275503</v>
      </c>
      <c r="V582" s="25">
        <f t="shared" si="346"/>
        <v>0.27225430549645202</v>
      </c>
      <c r="W582" s="25"/>
      <c r="X582" s="25"/>
    </row>
    <row r="586" spans="1:26" x14ac:dyDescent="0.4">
      <c r="A586" s="10" t="s">
        <v>198</v>
      </c>
      <c r="B586" s="11"/>
      <c r="C586" s="12"/>
      <c r="D586" s="13"/>
      <c r="E586" s="24"/>
      <c r="F586" s="24"/>
      <c r="G586" s="24"/>
      <c r="H586" s="24"/>
      <c r="I586" s="14"/>
      <c r="J586" s="14"/>
      <c r="K586" s="14"/>
      <c r="L586" s="14"/>
      <c r="M586" s="14"/>
      <c r="N586" s="13"/>
      <c r="O586" s="13"/>
      <c r="P586" s="13"/>
      <c r="Q586" s="13"/>
      <c r="R586" s="13"/>
      <c r="S586" s="13"/>
      <c r="T586" s="13"/>
      <c r="U586" s="13"/>
      <c r="V586" s="13"/>
      <c r="W586" s="13"/>
      <c r="X586" s="13"/>
    </row>
    <row r="587" spans="1:26" x14ac:dyDescent="0.4">
      <c r="A587" s="13" t="s">
        <v>469</v>
      </c>
      <c r="B587" s="11"/>
      <c r="C587" s="12"/>
      <c r="D587" s="13"/>
      <c r="E587" s="24"/>
      <c r="F587" s="24"/>
      <c r="G587" s="24"/>
      <c r="H587" s="24"/>
      <c r="I587" s="14"/>
      <c r="J587" s="14"/>
      <c r="K587" s="14"/>
      <c r="L587" s="14"/>
      <c r="M587" s="14"/>
      <c r="N587" s="13"/>
      <c r="O587" s="13"/>
      <c r="P587" s="13"/>
      <c r="Q587" s="13"/>
      <c r="R587" s="13"/>
      <c r="S587" s="13"/>
      <c r="T587" s="13"/>
      <c r="U587" s="13"/>
      <c r="V587" s="13"/>
      <c r="W587" s="13"/>
      <c r="X587" s="13"/>
    </row>
    <row r="588" spans="1:26" ht="36.9" x14ac:dyDescent="0.4">
      <c r="A588" s="221" t="s">
        <v>69</v>
      </c>
      <c r="B588" s="11" t="s">
        <v>187</v>
      </c>
      <c r="C588" s="12"/>
      <c r="D588" s="12" t="s">
        <v>96</v>
      </c>
      <c r="E588" s="40" t="s">
        <v>134</v>
      </c>
      <c r="F588" s="26" t="s">
        <v>199</v>
      </c>
      <c r="G588" s="26" t="s">
        <v>200</v>
      </c>
      <c r="H588" s="40" t="s">
        <v>101</v>
      </c>
      <c r="I588" s="14"/>
      <c r="J588" s="14"/>
      <c r="K588" s="14"/>
      <c r="L588" s="14"/>
      <c r="M588" s="14"/>
      <c r="N588" s="13"/>
      <c r="O588" s="13"/>
      <c r="P588" s="13"/>
      <c r="Q588" s="20"/>
      <c r="R588" s="21" t="s">
        <v>102</v>
      </c>
      <c r="S588" s="21" t="s">
        <v>103</v>
      </c>
      <c r="T588" s="21" t="s">
        <v>104</v>
      </c>
      <c r="U588" s="21" t="s">
        <v>105</v>
      </c>
      <c r="V588" s="21" t="s">
        <v>106</v>
      </c>
      <c r="W588" s="22"/>
      <c r="X588" s="22"/>
    </row>
    <row r="589" spans="1:26" ht="14.4" x14ac:dyDescent="0.55000000000000004">
      <c r="A589" s="10"/>
      <c r="B589" s="11"/>
      <c r="C589" s="12">
        <v>2022</v>
      </c>
      <c r="D589" s="152">
        <f>SUM(E589:H589)</f>
        <v>3375700</v>
      </c>
      <c r="E589" s="40">
        <v>3375700</v>
      </c>
      <c r="F589" s="26">
        <v>0</v>
      </c>
      <c r="G589" s="26">
        <v>0</v>
      </c>
      <c r="H589" s="40">
        <v>0</v>
      </c>
      <c r="I589" s="14"/>
      <c r="J589" s="14"/>
      <c r="K589" s="14"/>
      <c r="L589" s="14"/>
      <c r="M589" s="14"/>
      <c r="N589" s="13"/>
      <c r="O589" s="13"/>
      <c r="P589" s="13"/>
      <c r="Q589" s="13" t="str">
        <f>$A$588&amp;C589&amp;"REV"</f>
        <v>OGE2022REV</v>
      </c>
      <c r="R589" s="47">
        <f>IF(E589/D589&gt;1,1,E589/D589)</f>
        <v>1</v>
      </c>
      <c r="S589" s="47">
        <f>E589/E589</f>
        <v>1</v>
      </c>
      <c r="T589" s="47">
        <f>0/SUM(E589:F589)</f>
        <v>0</v>
      </c>
      <c r="U589" s="128">
        <f t="shared" ref="U589:V591" si="351">IF(OR(ISBLANK($R589),ISBLANK(S589)),"NA",$R589*S589)</f>
        <v>1</v>
      </c>
      <c r="V589" s="128">
        <f t="shared" si="351"/>
        <v>0</v>
      </c>
      <c r="W589" s="22"/>
      <c r="X589" s="22"/>
    </row>
    <row r="590" spans="1:26" x14ac:dyDescent="0.4">
      <c r="A590" s="13"/>
      <c r="B590" s="11" t="s">
        <v>107</v>
      </c>
      <c r="C590" s="88">
        <v>2021</v>
      </c>
      <c r="D590" s="152">
        <f>SUM(E590:H590)</f>
        <v>3653700</v>
      </c>
      <c r="E590" s="40">
        <v>3653700</v>
      </c>
      <c r="F590" s="26">
        <v>0</v>
      </c>
      <c r="G590" s="26">
        <v>0</v>
      </c>
      <c r="H590" s="40">
        <v>0</v>
      </c>
      <c r="I590" s="14"/>
      <c r="J590" s="14"/>
      <c r="K590" s="14"/>
      <c r="L590" s="14"/>
      <c r="M590" s="14"/>
      <c r="N590" s="13"/>
      <c r="O590" s="13"/>
      <c r="P590" s="13"/>
      <c r="Q590" s="13" t="str">
        <f>$A$588&amp;C590&amp;"REV"</f>
        <v>OGE2021REV</v>
      </c>
      <c r="R590" s="47">
        <f>IF(E590/D590&gt;1,1,E590/D590)</f>
        <v>1</v>
      </c>
      <c r="S590" s="47">
        <f>E590/E590</f>
        <v>1</v>
      </c>
      <c r="T590" s="47">
        <f>0/SUM(E590:F590)</f>
        <v>0</v>
      </c>
      <c r="U590" s="25">
        <f t="shared" si="351"/>
        <v>1</v>
      </c>
      <c r="V590" s="25">
        <f t="shared" si="351"/>
        <v>0</v>
      </c>
      <c r="W590" s="25"/>
      <c r="X590" s="25"/>
    </row>
    <row r="591" spans="1:26" x14ac:dyDescent="0.4">
      <c r="A591" s="13"/>
      <c r="B591" s="137"/>
      <c r="C591" s="88">
        <v>2020</v>
      </c>
      <c r="D591" s="23">
        <f>SUM(E591:M591)</f>
        <v>2122300</v>
      </c>
      <c r="E591" s="40">
        <v>2122300</v>
      </c>
      <c r="F591" s="24">
        <v>0</v>
      </c>
      <c r="G591" s="24">
        <v>0</v>
      </c>
      <c r="H591" s="24">
        <v>0</v>
      </c>
      <c r="I591" s="14"/>
      <c r="J591" s="14"/>
      <c r="K591" s="14"/>
      <c r="L591" s="14"/>
      <c r="M591" s="14"/>
      <c r="N591" s="13"/>
      <c r="O591" s="13"/>
      <c r="P591" s="13"/>
      <c r="Q591" s="13" t="str">
        <f t="shared" ref="Q591" si="352">$A$588&amp;C591&amp;"REV"</f>
        <v>OGE2020REV</v>
      </c>
      <c r="R591" s="47">
        <f t="shared" ref="R591" si="353">IF(E591/D591&gt;1,1,E591/D591)</f>
        <v>1</v>
      </c>
      <c r="S591" s="47">
        <f>E591/E591</f>
        <v>1</v>
      </c>
      <c r="T591" s="47">
        <f>0/SUM(E591:F591)</f>
        <v>0</v>
      </c>
      <c r="U591" s="25">
        <f t="shared" si="351"/>
        <v>1</v>
      </c>
      <c r="V591" s="25">
        <f t="shared" si="351"/>
        <v>0</v>
      </c>
      <c r="W591" s="25"/>
      <c r="X591" s="25"/>
    </row>
    <row r="592" spans="1:26" x14ac:dyDescent="0.4">
      <c r="A592" s="13"/>
      <c r="B592" s="11"/>
      <c r="C592" s="12"/>
      <c r="D592" s="13"/>
      <c r="E592" s="24"/>
      <c r="F592" s="24"/>
      <c r="G592" s="24"/>
      <c r="H592" s="24"/>
      <c r="I592" s="14"/>
      <c r="J592" s="14"/>
      <c r="K592" s="14"/>
      <c r="L592" s="14"/>
      <c r="M592" s="14"/>
      <c r="N592" s="13"/>
      <c r="O592" s="13"/>
      <c r="P592" s="13"/>
      <c r="Q592" s="13"/>
      <c r="R592" s="13"/>
      <c r="S592" s="13"/>
      <c r="T592" s="13"/>
      <c r="U592" s="13"/>
      <c r="V592" s="13"/>
      <c r="W592" s="13"/>
      <c r="X592" s="13"/>
      <c r="Z592" s="179">
        <f>AVERAGE(S590:S591)</f>
        <v>1</v>
      </c>
    </row>
    <row r="593" spans="1:26" ht="14.4" x14ac:dyDescent="0.55000000000000004">
      <c r="A593" s="13"/>
      <c r="B593" s="11"/>
      <c r="C593" s="12">
        <v>2022</v>
      </c>
      <c r="D593" s="45">
        <f>SUM(E593:H593)</f>
        <v>649500</v>
      </c>
      <c r="E593" s="24">
        <v>662500</v>
      </c>
      <c r="F593" s="24">
        <v>-12700</v>
      </c>
      <c r="G593" s="24">
        <v>-300</v>
      </c>
      <c r="H593" s="24">
        <v>0</v>
      </c>
      <c r="I593" s="14"/>
      <c r="J593" s="14"/>
      <c r="K593" s="14"/>
      <c r="L593" s="14"/>
      <c r="M593" s="14"/>
      <c r="N593" s="13"/>
      <c r="O593" s="13"/>
      <c r="P593" s="13"/>
      <c r="Q593" s="13" t="str">
        <f>$A$588&amp;C593&amp;"INC"</f>
        <v>OGE2022INC</v>
      </c>
      <c r="R593" s="47">
        <f>IF(E593/D593&gt;1,1,E593/D593)</f>
        <v>1</v>
      </c>
      <c r="S593" s="47">
        <f>E593/E593</f>
        <v>1</v>
      </c>
      <c r="T593" s="47">
        <f>0/SUM(E593:F593)</f>
        <v>0</v>
      </c>
      <c r="U593" s="128">
        <f t="shared" ref="U593:V595" si="354">IF(OR(ISBLANK($R593),ISBLANK(S593)),"NA",$R593*S593)</f>
        <v>1</v>
      </c>
      <c r="V593" s="128">
        <f t="shared" si="354"/>
        <v>0</v>
      </c>
      <c r="W593" s="13"/>
      <c r="X593" s="13"/>
      <c r="Z593" s="179"/>
    </row>
    <row r="594" spans="1:26" ht="14.4" x14ac:dyDescent="0.55000000000000004">
      <c r="A594" s="13"/>
      <c r="B594" s="11" t="s">
        <v>109</v>
      </c>
      <c r="C594" s="88">
        <v>2021</v>
      </c>
      <c r="D594" s="45">
        <f>SUM(E594:H594)</f>
        <v>544200</v>
      </c>
      <c r="E594" s="24">
        <v>546100</v>
      </c>
      <c r="F594" s="24">
        <v>-1800</v>
      </c>
      <c r="G594" s="24">
        <v>-100</v>
      </c>
      <c r="H594" s="24">
        <v>0</v>
      </c>
      <c r="I594" s="14"/>
      <c r="J594" s="14"/>
      <c r="K594" s="14"/>
      <c r="L594" s="14"/>
      <c r="M594" s="14"/>
      <c r="N594" s="13"/>
      <c r="O594" s="13"/>
      <c r="P594" s="13"/>
      <c r="Q594" s="13" t="str">
        <f>$A$588&amp;C594&amp;"INC"</f>
        <v>OGE2021INC</v>
      </c>
      <c r="R594" s="47">
        <f t="shared" ref="R594:R595" si="355">IF(E594/D594&gt;1,1,E594/D594)</f>
        <v>1</v>
      </c>
      <c r="S594" s="47">
        <f t="shared" ref="S594:S599" si="356">E594/E594</f>
        <v>1</v>
      </c>
      <c r="T594" s="47">
        <f>0/SUM(E594:F594)</f>
        <v>0</v>
      </c>
      <c r="U594" s="25">
        <f t="shared" si="354"/>
        <v>1</v>
      </c>
      <c r="V594" s="128">
        <f t="shared" si="354"/>
        <v>0</v>
      </c>
      <c r="W594" s="128"/>
      <c r="X594" s="128"/>
    </row>
    <row r="595" spans="1:26" x14ac:dyDescent="0.4">
      <c r="A595" s="13"/>
      <c r="B595" s="137"/>
      <c r="C595" s="88">
        <v>2020</v>
      </c>
      <c r="D595" s="23">
        <f t="shared" ref="D595" si="357">SUM(E595:M595)</f>
        <v>522200</v>
      </c>
      <c r="E595" s="24">
        <v>524800</v>
      </c>
      <c r="F595" s="24">
        <v>-2100</v>
      </c>
      <c r="G595" s="24">
        <v>-500</v>
      </c>
      <c r="H595" s="24">
        <v>0</v>
      </c>
      <c r="I595" s="14"/>
      <c r="J595" s="14"/>
      <c r="K595" s="14"/>
      <c r="L595" s="14"/>
      <c r="M595" s="14"/>
      <c r="N595" s="13"/>
      <c r="O595" s="13"/>
      <c r="P595" s="13"/>
      <c r="Q595" s="13" t="str">
        <f t="shared" ref="Q595" si="358">$A$588&amp;C595&amp;"INC"</f>
        <v>OGE2020INC</v>
      </c>
      <c r="R595" s="47">
        <f t="shared" si="355"/>
        <v>1</v>
      </c>
      <c r="S595" s="47">
        <f t="shared" si="356"/>
        <v>1</v>
      </c>
      <c r="T595" s="47">
        <f>0/SUM(E595:F595)</f>
        <v>0</v>
      </c>
      <c r="U595" s="25">
        <f t="shared" si="354"/>
        <v>1</v>
      </c>
      <c r="V595" s="25">
        <f t="shared" si="354"/>
        <v>0</v>
      </c>
      <c r="W595" s="25"/>
      <c r="X595" s="25"/>
    </row>
    <row r="596" spans="1:26" x14ac:dyDescent="0.4">
      <c r="A596" s="13"/>
      <c r="B596" s="11"/>
      <c r="C596" s="12"/>
      <c r="D596" s="46"/>
      <c r="E596" s="24"/>
      <c r="F596" s="24"/>
      <c r="G596" s="24"/>
      <c r="H596" s="24"/>
      <c r="I596" s="14"/>
      <c r="J596" s="14"/>
      <c r="K596" s="14"/>
      <c r="L596" s="14"/>
      <c r="M596" s="14"/>
      <c r="N596" s="13"/>
      <c r="O596" s="13"/>
      <c r="P596" s="13"/>
      <c r="Q596" s="13"/>
      <c r="R596" s="13"/>
      <c r="S596" s="13"/>
      <c r="T596" s="13"/>
      <c r="U596" s="13"/>
      <c r="V596" s="13"/>
      <c r="W596" s="13"/>
      <c r="X596" s="13"/>
      <c r="Z596" s="179">
        <f>AVERAGE(S594:S595)</f>
        <v>1</v>
      </c>
    </row>
    <row r="597" spans="1:26" ht="14.4" x14ac:dyDescent="0.55000000000000004">
      <c r="A597" s="13"/>
      <c r="B597" s="11"/>
      <c r="C597" s="12">
        <v>2022</v>
      </c>
      <c r="D597" s="223">
        <f>SUM(E597:H597)</f>
        <v>12544700</v>
      </c>
      <c r="E597" s="159">
        <v>12410500</v>
      </c>
      <c r="F597" s="24">
        <v>1200</v>
      </c>
      <c r="G597" s="24">
        <v>683700</v>
      </c>
      <c r="H597" s="24">
        <v>-550700</v>
      </c>
      <c r="I597" s="14"/>
      <c r="J597" s="14"/>
      <c r="K597" s="14"/>
      <c r="L597" s="14"/>
      <c r="M597" s="14"/>
      <c r="N597" s="13"/>
      <c r="O597" s="13"/>
      <c r="P597" s="13"/>
      <c r="Q597" s="13" t="str">
        <f>$A$588&amp;C597&amp;"ASSETS"</f>
        <v>OGE2022ASSETS</v>
      </c>
      <c r="R597" s="47">
        <f>IF(E597/D597&gt;1,1,E597/D597)</f>
        <v>0.98930225513563497</v>
      </c>
      <c r="S597" s="47">
        <f>E597/E597</f>
        <v>1</v>
      </c>
      <c r="T597" s="47">
        <f>0/SUM(E597:F597)</f>
        <v>0</v>
      </c>
      <c r="U597" s="128">
        <f t="shared" ref="U597:V599" si="359">IF(OR(ISBLANK($R597),ISBLANK(S597)),"NA",$R597*S597)</f>
        <v>0.98930225513563497</v>
      </c>
      <c r="V597" s="128">
        <f t="shared" si="359"/>
        <v>0</v>
      </c>
      <c r="W597" s="13"/>
      <c r="X597" s="13"/>
      <c r="Z597" s="179"/>
    </row>
    <row r="598" spans="1:26" x14ac:dyDescent="0.4">
      <c r="A598" s="13"/>
      <c r="B598" s="11" t="s">
        <v>110</v>
      </c>
      <c r="C598" s="88">
        <v>2021</v>
      </c>
      <c r="D598" s="223">
        <f>SUM(E598:H598)</f>
        <v>12606400</v>
      </c>
      <c r="E598" s="159">
        <v>11688000</v>
      </c>
      <c r="F598" s="24">
        <v>786600</v>
      </c>
      <c r="G598" s="24">
        <v>350300</v>
      </c>
      <c r="H598" s="24">
        <v>-218500</v>
      </c>
      <c r="I598" s="14"/>
      <c r="J598" s="14"/>
      <c r="K598" s="14"/>
      <c r="L598" s="14"/>
      <c r="M598" s="14"/>
      <c r="N598" s="13"/>
      <c r="O598" s="13"/>
      <c r="P598" s="13"/>
      <c r="Q598" s="13" t="str">
        <f>$A$588&amp;C598&amp;"ASSETS"</f>
        <v>OGE2021ASSETS</v>
      </c>
      <c r="R598" s="47">
        <f t="shared" ref="R598:R599" si="360">IF(E598/D598&gt;1,1,E598/D598)</f>
        <v>0.92714811524305119</v>
      </c>
      <c r="S598" s="47">
        <f t="shared" ref="S598" si="361">E598/E598</f>
        <v>1</v>
      </c>
      <c r="T598" s="47">
        <f>0/SUM(E598:F598)</f>
        <v>0</v>
      </c>
      <c r="U598" s="25">
        <f t="shared" si="359"/>
        <v>0.92714811524305119</v>
      </c>
      <c r="V598" s="25">
        <f t="shared" si="359"/>
        <v>0</v>
      </c>
      <c r="W598" s="25"/>
      <c r="X598" s="25"/>
    </row>
    <row r="599" spans="1:26" x14ac:dyDescent="0.4">
      <c r="A599" s="13"/>
      <c r="B599" s="137"/>
      <c r="C599" s="88">
        <v>2020</v>
      </c>
      <c r="D599" s="23">
        <f t="shared" ref="D599" si="362">SUM(E599:M599)</f>
        <v>10718800</v>
      </c>
      <c r="E599" s="24">
        <v>10489000</v>
      </c>
      <c r="F599" s="29">
        <v>378100</v>
      </c>
      <c r="G599" s="24">
        <v>116400</v>
      </c>
      <c r="H599" s="24">
        <v>-264700</v>
      </c>
      <c r="I599" s="14"/>
      <c r="J599" s="14"/>
      <c r="K599" s="14"/>
      <c r="L599" s="14"/>
      <c r="M599" s="14"/>
      <c r="N599" s="13"/>
      <c r="O599" s="13"/>
      <c r="P599" s="13"/>
      <c r="Q599" s="13" t="str">
        <f t="shared" ref="Q599" si="363">$A$588&amp;C599&amp;"ASSETS"</f>
        <v>OGE2020ASSETS</v>
      </c>
      <c r="R599" s="47">
        <f t="shared" si="360"/>
        <v>0.97856103295144981</v>
      </c>
      <c r="S599" s="47">
        <f t="shared" si="356"/>
        <v>1</v>
      </c>
      <c r="T599" s="47">
        <f>0/SUM(E599:F599)</f>
        <v>0</v>
      </c>
      <c r="U599" s="25">
        <f t="shared" si="359"/>
        <v>0.97856103295144981</v>
      </c>
      <c r="V599" s="25">
        <f t="shared" si="359"/>
        <v>0</v>
      </c>
      <c r="W599" s="25"/>
      <c r="X599" s="25"/>
    </row>
    <row r="600" spans="1:26" x14ac:dyDescent="0.4">
      <c r="Z600" s="179">
        <f>AVERAGE(S598:S599)</f>
        <v>1</v>
      </c>
    </row>
    <row r="603" spans="1:26" x14ac:dyDescent="0.4">
      <c r="A603" s="10" t="s">
        <v>70</v>
      </c>
      <c r="B603" s="11"/>
      <c r="C603" s="12"/>
      <c r="D603" s="13"/>
      <c r="E603" s="24"/>
      <c r="F603" s="24"/>
      <c r="G603" s="24"/>
      <c r="H603" s="24"/>
      <c r="I603" s="24"/>
      <c r="J603" s="14"/>
      <c r="K603" s="14"/>
      <c r="L603" s="14"/>
      <c r="M603" s="14"/>
      <c r="N603" s="13"/>
      <c r="O603" s="13"/>
      <c r="P603" s="13"/>
      <c r="Q603" s="13"/>
      <c r="R603" s="13"/>
      <c r="S603" s="13"/>
      <c r="T603" s="13"/>
      <c r="U603" s="13"/>
      <c r="V603" s="13"/>
      <c r="W603" s="13"/>
      <c r="X603" s="13"/>
    </row>
    <row r="604" spans="1:26" x14ac:dyDescent="0.4">
      <c r="A604" s="15" t="s">
        <v>470</v>
      </c>
      <c r="B604" s="11"/>
      <c r="C604" s="12"/>
      <c r="D604" s="13"/>
      <c r="E604" s="24"/>
      <c r="F604" s="24"/>
      <c r="G604" s="24"/>
      <c r="H604" s="24"/>
      <c r="I604" s="24"/>
      <c r="J604" s="14"/>
      <c r="K604" s="14"/>
      <c r="L604" s="14"/>
      <c r="M604" s="14" t="s">
        <v>201</v>
      </c>
      <c r="N604" s="13"/>
      <c r="O604" s="13"/>
      <c r="P604" s="13"/>
      <c r="Q604" s="13"/>
      <c r="R604" s="13"/>
      <c r="S604" s="13"/>
      <c r="T604" s="13"/>
      <c r="U604" s="13"/>
      <c r="V604" s="13"/>
      <c r="W604" s="13"/>
      <c r="X604" s="13"/>
    </row>
    <row r="605" spans="1:26" ht="36.9" x14ac:dyDescent="0.4">
      <c r="A605" s="221" t="s">
        <v>71</v>
      </c>
      <c r="B605" s="11" t="s">
        <v>187</v>
      </c>
      <c r="C605" s="12"/>
      <c r="D605" s="12" t="s">
        <v>96</v>
      </c>
      <c r="E605" s="40" t="s">
        <v>141</v>
      </c>
      <c r="F605" s="40" t="s">
        <v>202</v>
      </c>
      <c r="G605" s="40" t="s">
        <v>203</v>
      </c>
      <c r="H605" s="26" t="s">
        <v>204</v>
      </c>
      <c r="I605" s="26" t="s">
        <v>205</v>
      </c>
      <c r="J605" s="16"/>
      <c r="K605" s="16"/>
      <c r="L605" s="14"/>
      <c r="M605" s="14"/>
      <c r="N605" s="13"/>
      <c r="O605" s="13"/>
      <c r="P605" s="13"/>
      <c r="Q605" s="20"/>
      <c r="R605" s="21" t="s">
        <v>102</v>
      </c>
      <c r="S605" s="21" t="s">
        <v>103</v>
      </c>
      <c r="T605" s="21" t="s">
        <v>104</v>
      </c>
      <c r="U605" s="21" t="s">
        <v>105</v>
      </c>
      <c r="V605" s="21" t="s">
        <v>106</v>
      </c>
      <c r="W605" s="22"/>
      <c r="X605" s="22"/>
    </row>
    <row r="606" spans="1:26" ht="14.4" x14ac:dyDescent="0.55000000000000004">
      <c r="A606" s="10"/>
      <c r="B606" s="11"/>
      <c r="C606" s="12">
        <v>2022</v>
      </c>
      <c r="D606" s="152">
        <f>SUM(E606:I606)</f>
        <v>1460209</v>
      </c>
      <c r="E606" s="40">
        <v>549699</v>
      </c>
      <c r="F606" s="40">
        <v>397983</v>
      </c>
      <c r="G606" s="40">
        <v>512527</v>
      </c>
      <c r="H606" s="26"/>
      <c r="I606" s="26"/>
      <c r="J606" s="16"/>
      <c r="K606" s="16"/>
      <c r="L606" s="14"/>
      <c r="M606" s="14"/>
      <c r="N606" s="13"/>
      <c r="O606" s="13"/>
      <c r="P606" s="13"/>
      <c r="Q606" s="149" t="str">
        <f>$A$605&amp;C606&amp;"REV"</f>
        <v>OTTR2022REV</v>
      </c>
      <c r="R606" s="47">
        <f>IF(E606/D606&gt;1,1,E606/D606)</f>
        <v>0.37645227498255385</v>
      </c>
      <c r="S606" s="47">
        <f>E606/E606</f>
        <v>1</v>
      </c>
      <c r="T606" s="47">
        <v>0</v>
      </c>
      <c r="U606" s="128">
        <f t="shared" ref="U606:V608" si="364">IF(OR(ISBLANK($R606),ISBLANK(S606)),"NA",$R606*S606)</f>
        <v>0.37645227498255385</v>
      </c>
      <c r="V606" s="128">
        <f t="shared" si="364"/>
        <v>0</v>
      </c>
      <c r="W606" s="22"/>
      <c r="X606" s="22"/>
    </row>
    <row r="607" spans="1:26" x14ac:dyDescent="0.4">
      <c r="A607" s="13"/>
      <c r="B607" s="11" t="s">
        <v>107</v>
      </c>
      <c r="C607" s="12">
        <v>2021</v>
      </c>
      <c r="D607" s="152">
        <f>SUM(E607:I607)</f>
        <v>1196844</v>
      </c>
      <c r="E607" s="40">
        <v>480321</v>
      </c>
      <c r="F607" s="40">
        <v>336294</v>
      </c>
      <c r="G607" s="40">
        <v>380229</v>
      </c>
      <c r="H607" s="26">
        <v>0</v>
      </c>
      <c r="I607" s="26">
        <v>0</v>
      </c>
      <c r="J607" s="16"/>
      <c r="K607" s="16"/>
      <c r="L607" s="14"/>
      <c r="M607" s="14"/>
      <c r="N607" s="13"/>
      <c r="O607" s="13"/>
      <c r="P607" s="13"/>
      <c r="Q607" s="13" t="str">
        <f>$A$605&amp;C607&amp;"REV"</f>
        <v>OTTR2021REV</v>
      </c>
      <c r="R607" s="47">
        <f>IF(E607/D607&gt;1,1,E607/D607)</f>
        <v>0.40132297943591644</v>
      </c>
      <c r="S607" s="47">
        <f>E607/E607</f>
        <v>1</v>
      </c>
      <c r="T607" s="47">
        <v>0</v>
      </c>
      <c r="U607" s="25">
        <f t="shared" si="364"/>
        <v>0.40132297943591644</v>
      </c>
      <c r="V607" s="25">
        <f t="shared" si="364"/>
        <v>0</v>
      </c>
      <c r="W607" s="25"/>
      <c r="X607" s="25"/>
    </row>
    <row r="608" spans="1:26" x14ac:dyDescent="0.4">
      <c r="A608" s="13"/>
      <c r="B608" s="137"/>
      <c r="C608" s="88">
        <v>2020</v>
      </c>
      <c r="D608" s="23">
        <f>SUM(E608:M608)</f>
        <v>890148</v>
      </c>
      <c r="E608" s="40">
        <v>446130</v>
      </c>
      <c r="F608" s="40">
        <v>238769</v>
      </c>
      <c r="G608" s="40">
        <v>205249</v>
      </c>
      <c r="H608" s="24">
        <v>0</v>
      </c>
      <c r="I608" s="24">
        <v>0</v>
      </c>
      <c r="J608" s="14"/>
      <c r="K608" s="14"/>
      <c r="L608" s="14"/>
      <c r="M608" s="14"/>
      <c r="N608" s="13"/>
      <c r="O608" s="13"/>
      <c r="P608" s="13"/>
      <c r="Q608" s="13" t="str">
        <f t="shared" ref="Q608" si="365">$A$605&amp;C608&amp;"REV"</f>
        <v>OTTR2020REV</v>
      </c>
      <c r="R608" s="47">
        <f t="shared" ref="R608" si="366">IF(E608/D608&gt;1,1,E608/D608)</f>
        <v>0.50118631957831727</v>
      </c>
      <c r="S608" s="47">
        <f>E608/E608</f>
        <v>1</v>
      </c>
      <c r="T608" s="47">
        <v>0</v>
      </c>
      <c r="U608" s="25">
        <f t="shared" si="364"/>
        <v>0.50118631957831727</v>
      </c>
      <c r="V608" s="25">
        <f t="shared" si="364"/>
        <v>0</v>
      </c>
      <c r="W608" s="25"/>
      <c r="X608" s="25"/>
    </row>
    <row r="609" spans="1:36" x14ac:dyDescent="0.4">
      <c r="A609" s="13"/>
      <c r="B609" s="11"/>
      <c r="C609" s="12"/>
      <c r="D609" s="13"/>
      <c r="E609" s="24"/>
      <c r="F609" s="24"/>
      <c r="G609" s="24"/>
      <c r="H609" s="24"/>
      <c r="I609" s="24"/>
      <c r="J609" s="14"/>
      <c r="K609" s="14"/>
      <c r="L609" s="14"/>
      <c r="M609" s="14"/>
      <c r="N609" s="13"/>
      <c r="O609" s="13"/>
      <c r="P609" s="13"/>
      <c r="Q609" s="13"/>
      <c r="R609" s="13"/>
      <c r="S609" s="13"/>
      <c r="T609" s="13"/>
      <c r="U609" s="13"/>
      <c r="V609" s="13"/>
      <c r="W609" s="13"/>
      <c r="X609" s="13"/>
    </row>
    <row r="610" spans="1:36" ht="14.4" x14ac:dyDescent="0.55000000000000004">
      <c r="A610" s="13"/>
      <c r="B610" s="11"/>
      <c r="C610" s="12">
        <v>2022</v>
      </c>
      <c r="D610" s="45">
        <f>SUM(E610:I610)</f>
        <v>390439</v>
      </c>
      <c r="E610" s="24">
        <v>113138</v>
      </c>
      <c r="F610" s="24">
        <v>29065</v>
      </c>
      <c r="G610" s="24">
        <v>264578</v>
      </c>
      <c r="H610" s="24">
        <v>-16342</v>
      </c>
      <c r="I610" s="24">
        <v>0</v>
      </c>
      <c r="J610" s="14"/>
      <c r="K610" s="14"/>
      <c r="L610" s="14"/>
      <c r="M610" s="14"/>
      <c r="N610" s="13"/>
      <c r="O610" s="13"/>
      <c r="P610" s="13"/>
      <c r="Q610" s="13" t="str">
        <f>$A$605&amp;C610&amp;"INC"</f>
        <v>OTTR2022INC</v>
      </c>
      <c r="R610" s="47">
        <f>IF(E610/D610&gt;1,1,E610/D610)</f>
        <v>0.28977125748196259</v>
      </c>
      <c r="S610" s="47">
        <f>E610/E610</f>
        <v>1</v>
      </c>
      <c r="T610" s="47">
        <v>0</v>
      </c>
      <c r="U610" s="128">
        <f t="shared" ref="U610:V612" si="367">IF(OR(ISBLANK($R610),ISBLANK(S610)),"NA",$R610*S610)</f>
        <v>0.28977125748196259</v>
      </c>
      <c r="V610" s="128">
        <f t="shared" si="367"/>
        <v>0</v>
      </c>
      <c r="W610" s="13"/>
      <c r="X610" s="13"/>
    </row>
    <row r="611" spans="1:36" x14ac:dyDescent="0.4">
      <c r="A611" s="13"/>
      <c r="B611" s="11" t="s">
        <v>109</v>
      </c>
      <c r="C611" s="12">
        <v>2021</v>
      </c>
      <c r="D611" s="45">
        <f>SUM(E611:I611)</f>
        <v>249708</v>
      </c>
      <c r="E611" s="24">
        <v>106964</v>
      </c>
      <c r="F611" s="24">
        <v>24114</v>
      </c>
      <c r="G611" s="24">
        <v>132760</v>
      </c>
      <c r="H611" s="24">
        <v>-14130</v>
      </c>
      <c r="I611" s="24">
        <v>0</v>
      </c>
      <c r="J611" s="14"/>
      <c r="K611" s="14"/>
      <c r="L611" s="14"/>
      <c r="M611" s="14"/>
      <c r="N611" s="13"/>
      <c r="O611" s="13"/>
      <c r="P611" s="13"/>
      <c r="Q611" s="13" t="str">
        <f>$A$605&amp;C611&amp;"INC"</f>
        <v>OTTR2021INC</v>
      </c>
      <c r="R611" s="47">
        <f t="shared" ref="R611:R612" si="368">IF(E611/D611&gt;1,1,E611/D611)</f>
        <v>0.42835632018197256</v>
      </c>
      <c r="S611" s="47">
        <f>E611/E611</f>
        <v>1</v>
      </c>
      <c r="T611" s="47">
        <v>0</v>
      </c>
      <c r="U611" s="25">
        <f t="shared" si="367"/>
        <v>0.42835632018197256</v>
      </c>
      <c r="V611" s="25">
        <f t="shared" si="367"/>
        <v>0</v>
      </c>
      <c r="W611" s="25"/>
      <c r="X611" s="25"/>
    </row>
    <row r="612" spans="1:36" x14ac:dyDescent="0.4">
      <c r="A612" s="13"/>
      <c r="B612" s="137"/>
      <c r="C612" s="88">
        <v>2020</v>
      </c>
      <c r="D612" s="23">
        <f>SUM(E612:M612)</f>
        <v>147886</v>
      </c>
      <c r="E612" s="24">
        <v>107083</v>
      </c>
      <c r="F612" s="24">
        <v>16103</v>
      </c>
      <c r="G612" s="24">
        <v>37823</v>
      </c>
      <c r="H612" s="24">
        <v>-13123</v>
      </c>
      <c r="I612" s="24">
        <v>0</v>
      </c>
      <c r="J612" s="14"/>
      <c r="K612" s="14"/>
      <c r="L612" s="14"/>
      <c r="M612" s="14"/>
      <c r="N612" s="13"/>
      <c r="O612" s="13"/>
      <c r="P612" s="13"/>
      <c r="Q612" s="13" t="str">
        <f t="shared" ref="Q612" si="369">$A$605&amp;C612&amp;"INC"</f>
        <v>OTTR2020INC</v>
      </c>
      <c r="R612" s="47">
        <f t="shared" si="368"/>
        <v>0.72409152996226822</v>
      </c>
      <c r="S612" s="47">
        <f>E612/E612</f>
        <v>1</v>
      </c>
      <c r="T612" s="47">
        <v>0</v>
      </c>
      <c r="U612" s="25">
        <f t="shared" si="367"/>
        <v>0.72409152996226822</v>
      </c>
      <c r="V612" s="25">
        <f t="shared" si="367"/>
        <v>0</v>
      </c>
      <c r="W612" s="25"/>
      <c r="X612" s="25"/>
    </row>
    <row r="613" spans="1:36" x14ac:dyDescent="0.4">
      <c r="A613" s="13"/>
      <c r="B613" s="11"/>
      <c r="C613" s="12"/>
      <c r="D613" s="46"/>
      <c r="E613" s="24"/>
      <c r="F613" s="24"/>
      <c r="G613" s="24"/>
      <c r="H613" s="24"/>
      <c r="I613" s="24"/>
      <c r="J613" s="14"/>
      <c r="K613" s="14"/>
      <c r="L613" s="14"/>
      <c r="M613" s="14"/>
      <c r="N613" s="13"/>
      <c r="O613" s="13"/>
      <c r="P613" s="13"/>
      <c r="Q613" s="13"/>
      <c r="R613" s="13"/>
      <c r="S613" s="13"/>
      <c r="T613" s="13"/>
      <c r="U613" s="13"/>
      <c r="V613" s="13"/>
      <c r="W613" s="13"/>
      <c r="X613" s="13"/>
    </row>
    <row r="614" spans="1:36" ht="14.4" x14ac:dyDescent="0.55000000000000004">
      <c r="A614" s="13"/>
      <c r="B614" s="11"/>
      <c r="C614" s="12">
        <v>2022</v>
      </c>
      <c r="D614" s="46">
        <f>SUM(E614:I614)</f>
        <v>2901661</v>
      </c>
      <c r="E614" s="24">
        <v>2351961</v>
      </c>
      <c r="F614" s="24">
        <v>245869</v>
      </c>
      <c r="G614" s="24">
        <v>126318</v>
      </c>
      <c r="H614" s="24">
        <v>177513</v>
      </c>
      <c r="I614" s="24">
        <v>0</v>
      </c>
      <c r="J614" s="14"/>
      <c r="K614" s="14"/>
      <c r="L614" s="14"/>
      <c r="M614" s="14"/>
      <c r="N614" s="13"/>
      <c r="O614" s="13"/>
      <c r="P614" s="13"/>
      <c r="Q614" s="13" t="str">
        <f>$A$605&amp;C614&amp;"ASSETS"</f>
        <v>OTTR2022ASSETS</v>
      </c>
      <c r="R614" s="47">
        <f>IF(E614/D614&gt;1,1,E614/D614)</f>
        <v>0.81055678109882578</v>
      </c>
      <c r="S614" s="47">
        <f>E614/E614</f>
        <v>1</v>
      </c>
      <c r="T614" s="47">
        <v>0</v>
      </c>
      <c r="U614" s="128">
        <f t="shared" ref="U614:V616" si="370">IF(OR(ISBLANK($R614),ISBLANK(S614)),"NA",$R614*S614)</f>
        <v>0.81055678109882578</v>
      </c>
      <c r="V614" s="128">
        <f t="shared" si="370"/>
        <v>0</v>
      </c>
      <c r="W614" s="13"/>
      <c r="X614" s="13"/>
    </row>
    <row r="615" spans="1:36" x14ac:dyDescent="0.4">
      <c r="A615" s="13"/>
      <c r="B615" s="11" t="s">
        <v>110</v>
      </c>
      <c r="C615" s="12">
        <v>2021</v>
      </c>
      <c r="D615" s="46">
        <f>SUM(E615:I615)</f>
        <v>2754830</v>
      </c>
      <c r="E615" s="24">
        <v>2283776</v>
      </c>
      <c r="F615" s="24">
        <v>251044</v>
      </c>
      <c r="G615" s="24">
        <v>162565</v>
      </c>
      <c r="H615" s="24">
        <v>57445</v>
      </c>
      <c r="I615" s="24">
        <v>0</v>
      </c>
      <c r="J615" s="14"/>
      <c r="K615" s="14"/>
      <c r="L615" s="14"/>
      <c r="M615" s="14"/>
      <c r="N615" s="13"/>
      <c r="O615" s="13"/>
      <c r="P615" s="13"/>
      <c r="Q615" s="13" t="str">
        <f>$A$605&amp;C615&amp;"ASSETS"</f>
        <v>OTTR2021ASSETS</v>
      </c>
      <c r="R615" s="47">
        <f t="shared" ref="R615:R616" si="371">IF(E615/D615&gt;1,1,E615/D615)</f>
        <v>0.82900796056380976</v>
      </c>
      <c r="S615" s="47">
        <f>E615/E615</f>
        <v>1</v>
      </c>
      <c r="T615" s="47">
        <v>0</v>
      </c>
      <c r="U615" s="25">
        <f t="shared" si="370"/>
        <v>0.82900796056380976</v>
      </c>
      <c r="V615" s="25">
        <f t="shared" si="370"/>
        <v>0</v>
      </c>
      <c r="W615" s="25"/>
      <c r="X615" s="25"/>
    </row>
    <row r="616" spans="1:36" x14ac:dyDescent="0.4">
      <c r="A616" s="13"/>
      <c r="B616" s="137"/>
      <c r="C616" s="88">
        <v>2020</v>
      </c>
      <c r="D616" s="23">
        <f t="shared" ref="D616" si="372">SUM(E616:M616)</f>
        <v>2578354</v>
      </c>
      <c r="E616" s="24">
        <v>2233399</v>
      </c>
      <c r="F616" s="24">
        <v>191005</v>
      </c>
      <c r="G616" s="24">
        <v>99767</v>
      </c>
      <c r="H616" s="24">
        <v>54183</v>
      </c>
      <c r="I616" s="24">
        <v>0</v>
      </c>
      <c r="J616" s="14"/>
      <c r="K616" s="14"/>
      <c r="L616" s="14"/>
      <c r="M616" s="14"/>
      <c r="N616" s="13"/>
      <c r="O616" s="13"/>
      <c r="P616" s="13"/>
      <c r="Q616" s="13" t="str">
        <f t="shared" ref="Q616" si="373">$A$605&amp;C616&amp;"ASSETS"</f>
        <v>OTTR2020ASSETS</v>
      </c>
      <c r="R616" s="47">
        <f t="shared" si="371"/>
        <v>0.8662111564199485</v>
      </c>
      <c r="S616" s="47">
        <f>E616/E616</f>
        <v>1</v>
      </c>
      <c r="T616" s="47">
        <v>0</v>
      </c>
      <c r="U616" s="25">
        <f t="shared" si="370"/>
        <v>0.8662111564199485</v>
      </c>
      <c r="V616" s="25">
        <f t="shared" si="370"/>
        <v>0</v>
      </c>
      <c r="W616" s="25"/>
      <c r="X616" s="25"/>
    </row>
    <row r="620" spans="1:36" x14ac:dyDescent="0.4">
      <c r="A620" s="10" t="s">
        <v>72</v>
      </c>
      <c r="B620" s="11"/>
      <c r="C620" s="12"/>
      <c r="D620" s="13"/>
      <c r="E620" s="14"/>
      <c r="F620" s="14"/>
      <c r="G620" s="14"/>
      <c r="H620" s="14"/>
      <c r="I620" s="14"/>
      <c r="J620" s="14"/>
      <c r="K620" s="39"/>
      <c r="L620" s="14"/>
      <c r="M620" s="14"/>
      <c r="N620" s="13"/>
      <c r="O620" s="13"/>
      <c r="P620" s="13"/>
      <c r="Q620" s="13"/>
      <c r="R620" s="13"/>
    </row>
    <row r="621" spans="1:36" x14ac:dyDescent="0.4">
      <c r="A621" s="13" t="s">
        <v>471</v>
      </c>
      <c r="B621" s="11"/>
      <c r="C621" s="12"/>
      <c r="D621" s="13"/>
      <c r="E621" s="14"/>
      <c r="F621" s="14"/>
      <c r="G621" s="14"/>
      <c r="H621" s="14"/>
      <c r="O621" s="13"/>
      <c r="P621" s="13"/>
      <c r="Q621" s="13"/>
      <c r="R621" s="13"/>
    </row>
    <row r="622" spans="1:36" ht="98.4" x14ac:dyDescent="0.4">
      <c r="A622" s="10" t="s">
        <v>73</v>
      </c>
      <c r="B622" s="11" t="s">
        <v>187</v>
      </c>
      <c r="C622" s="12"/>
      <c r="D622" s="12" t="s">
        <v>96</v>
      </c>
      <c r="E622" s="17" t="s">
        <v>134</v>
      </c>
      <c r="F622" s="16" t="s">
        <v>206</v>
      </c>
      <c r="G622" s="33" t="s">
        <v>207</v>
      </c>
      <c r="H622" s="14"/>
      <c r="O622" s="13"/>
      <c r="P622" s="13"/>
      <c r="Q622" s="20"/>
      <c r="R622" s="21" t="s">
        <v>102</v>
      </c>
      <c r="S622" s="176" t="s">
        <v>103</v>
      </c>
      <c r="T622" s="176" t="s">
        <v>104</v>
      </c>
      <c r="U622" s="21" t="s">
        <v>105</v>
      </c>
      <c r="V622" s="21" t="s">
        <v>106</v>
      </c>
      <c r="W622" s="22"/>
      <c r="X622" s="22"/>
      <c r="Y622" s="42" t="s">
        <v>208</v>
      </c>
      <c r="Z622" s="97" t="s">
        <v>209</v>
      </c>
      <c r="AA622" s="97" t="s">
        <v>210</v>
      </c>
      <c r="AB622" s="224" t="s">
        <v>472</v>
      </c>
      <c r="AE622" s="14"/>
      <c r="AF622" s="14"/>
      <c r="AG622" s="39"/>
      <c r="AH622" s="14"/>
      <c r="AI622" s="14"/>
      <c r="AJ622" s="13"/>
    </row>
    <row r="623" spans="1:36" x14ac:dyDescent="0.4">
      <c r="A623" s="10"/>
      <c r="B623" s="11"/>
      <c r="C623" s="12">
        <v>2022</v>
      </c>
      <c r="D623" s="152">
        <f>SUM(E623:G623)</f>
        <v>21680000</v>
      </c>
      <c r="E623" s="17">
        <v>15060000</v>
      </c>
      <c r="F623" s="16">
        <v>6620000</v>
      </c>
      <c r="G623" s="33">
        <v>0</v>
      </c>
      <c r="H623" s="14"/>
      <c r="O623" s="13"/>
      <c r="P623" s="13"/>
      <c r="Q623" s="13" t="str">
        <f>$A$622&amp;C623&amp;"REV"</f>
        <v>PCG2022REV</v>
      </c>
      <c r="R623" s="47">
        <f>IF(SUM(E623:F623)/D623&gt;1,1,SUM(E623:F623)/D623)</f>
        <v>1</v>
      </c>
      <c r="S623" s="133">
        <f>E623/SUM(E623:F623)</f>
        <v>0.69464944649446492</v>
      </c>
      <c r="T623" s="133">
        <f>F623/SUM(E623:F623)</f>
        <v>0.30535055350553508</v>
      </c>
      <c r="U623" s="25">
        <f t="shared" ref="U623:V625" si="374">IF(OR(ISBLANK($R623),ISBLANK(S623)),"NA",$R623*S623)</f>
        <v>0.69464944649446492</v>
      </c>
      <c r="V623" s="25">
        <f t="shared" si="374"/>
        <v>0.30535055350553508</v>
      </c>
      <c r="W623" s="22"/>
      <c r="X623" s="22"/>
      <c r="Y623" s="42"/>
      <c r="Z623" s="98">
        <v>21680000</v>
      </c>
      <c r="AA623" s="98">
        <v>21680000</v>
      </c>
      <c r="AB623" s="224"/>
      <c r="AE623" s="14"/>
      <c r="AF623" s="14"/>
      <c r="AG623" s="39"/>
      <c r="AH623" s="14"/>
      <c r="AI623" s="14"/>
      <c r="AJ623" s="13"/>
    </row>
    <row r="624" spans="1:36" x14ac:dyDescent="0.4">
      <c r="A624" s="13"/>
      <c r="B624" s="11" t="s">
        <v>107</v>
      </c>
      <c r="C624" s="12">
        <v>2021</v>
      </c>
      <c r="D624" s="152">
        <f>SUM(E624:G624)</f>
        <v>20642000</v>
      </c>
      <c r="E624" s="17">
        <v>15131000</v>
      </c>
      <c r="F624" s="16">
        <v>5511000</v>
      </c>
      <c r="G624" s="33">
        <v>0</v>
      </c>
      <c r="H624" s="14"/>
      <c r="O624" s="13"/>
      <c r="P624" s="13"/>
      <c r="Q624" s="13" t="str">
        <f>$A$622&amp;C624&amp;"REV"</f>
        <v>PCG2021REV</v>
      </c>
      <c r="R624" s="47">
        <f>IF(SUM(E624:F624)/D624&gt;1,1,SUM(E624:F624)/D624)</f>
        <v>1</v>
      </c>
      <c r="S624" s="133">
        <f>E624/SUM(E624:F624)</f>
        <v>0.733020056196105</v>
      </c>
      <c r="T624" s="133">
        <f>F624/SUM(E624:F624)</f>
        <v>0.26697994380389495</v>
      </c>
      <c r="U624" s="25">
        <f t="shared" si="374"/>
        <v>0.733020056196105</v>
      </c>
      <c r="V624" s="25">
        <f t="shared" si="374"/>
        <v>0.26697994380389495</v>
      </c>
      <c r="W624" s="25"/>
      <c r="X624" s="25"/>
      <c r="Y624" s="13"/>
      <c r="Z624" s="98">
        <v>20642000</v>
      </c>
      <c r="AA624" s="98">
        <v>20642000</v>
      </c>
      <c r="AB624" s="209"/>
      <c r="AE624" s="14"/>
      <c r="AF624" s="14"/>
      <c r="AG624" s="14"/>
      <c r="AH624" s="14"/>
      <c r="AI624" s="14"/>
      <c r="AJ624" s="13"/>
    </row>
    <row r="625" spans="1:36" x14ac:dyDescent="0.4">
      <c r="A625" s="13"/>
      <c r="B625" s="137"/>
      <c r="C625" s="88">
        <v>2020</v>
      </c>
      <c r="D625" s="23">
        <f>SUM(E625:M625)</f>
        <v>18469000</v>
      </c>
      <c r="E625" s="17">
        <v>13858000</v>
      </c>
      <c r="F625" s="16">
        <v>4611000</v>
      </c>
      <c r="G625" s="40">
        <v>0</v>
      </c>
      <c r="H625" s="14"/>
      <c r="O625" s="13"/>
      <c r="P625" s="13"/>
      <c r="Q625" s="13" t="str">
        <f t="shared" ref="Q625" si="375">$A$622&amp;C625&amp;"REV"</f>
        <v>PCG2020REV</v>
      </c>
      <c r="R625" s="47">
        <f t="shared" ref="R625" si="376">IF(SUM(E625:F625)/D625&gt;1,1,SUM(E625:F625)/D625)</f>
        <v>1</v>
      </c>
      <c r="S625" s="133">
        <f>E625/SUM(E625:F625)</f>
        <v>0.75033840489468839</v>
      </c>
      <c r="T625" s="133">
        <f>F625/SUM(E625:F625)</f>
        <v>0.24966159510531161</v>
      </c>
      <c r="U625" s="25">
        <f t="shared" si="374"/>
        <v>0.75033840489468839</v>
      </c>
      <c r="V625" s="25">
        <f t="shared" si="374"/>
        <v>0.24966159510531161</v>
      </c>
      <c r="W625" s="25"/>
      <c r="X625" s="25"/>
      <c r="Y625" s="13"/>
      <c r="Z625" s="98">
        <v>18469000</v>
      </c>
      <c r="AA625" s="98">
        <v>18459000</v>
      </c>
      <c r="AB625" s="209"/>
      <c r="AE625" s="14"/>
      <c r="AF625" s="14"/>
      <c r="AG625" s="14"/>
      <c r="AH625" s="14"/>
      <c r="AI625" s="14"/>
      <c r="AJ625" s="13"/>
    </row>
    <row r="626" spans="1:36" x14ac:dyDescent="0.4">
      <c r="A626" s="13"/>
      <c r="B626" s="11"/>
      <c r="C626" s="12"/>
      <c r="D626" s="13"/>
      <c r="E626" s="19"/>
      <c r="F626" s="19"/>
      <c r="G626" s="19"/>
      <c r="H626" s="14"/>
      <c r="O626" s="13"/>
      <c r="P626" s="13"/>
      <c r="Q626" s="13"/>
      <c r="R626" s="13"/>
      <c r="U626" s="13"/>
      <c r="V626" s="13"/>
      <c r="W626" s="13"/>
      <c r="X626" s="13"/>
      <c r="Y626" s="13"/>
      <c r="Z626" s="99"/>
      <c r="AA626" s="99"/>
      <c r="AB626" s="209"/>
      <c r="AE626" s="14"/>
      <c r="AF626" s="14"/>
      <c r="AG626" s="14"/>
      <c r="AH626" s="14"/>
      <c r="AI626" s="14"/>
      <c r="AJ626" s="13"/>
    </row>
    <row r="627" spans="1:36" ht="12.6" x14ac:dyDescent="0.45">
      <c r="A627" s="13"/>
      <c r="B627" s="11"/>
      <c r="C627" s="12">
        <v>2022</v>
      </c>
      <c r="D627" s="23">
        <f>Z627</f>
        <v>1837000</v>
      </c>
      <c r="E627" s="225">
        <v>1432323</v>
      </c>
      <c r="F627" s="225">
        <v>1226798</v>
      </c>
      <c r="G627" s="34">
        <f>D627-AA627</f>
        <v>-84000</v>
      </c>
      <c r="H627" s="14"/>
      <c r="O627" s="13"/>
      <c r="P627" s="13"/>
      <c r="Q627" s="13" t="str">
        <f>$A$622&amp;C627&amp;"INC"</f>
        <v>PCG2022INC</v>
      </c>
      <c r="R627" s="47">
        <f>IF(SUM(E627:F627)/D627&gt;1,1,SUM(E627:F627)/D627)</f>
        <v>1</v>
      </c>
      <c r="S627" s="131">
        <v>0.53864528917638577</v>
      </c>
      <c r="T627" s="131">
        <v>0.46135471082361429</v>
      </c>
      <c r="U627" s="25">
        <f t="shared" ref="U627:V629" si="377">IF(OR(ISBLANK($R627),ISBLANK(S627)),"NA",$R627*S627)</f>
        <v>0.53864528917638577</v>
      </c>
      <c r="V627" s="25">
        <f t="shared" si="377"/>
        <v>0.46135471082361429</v>
      </c>
      <c r="W627" s="13"/>
      <c r="X627" s="13"/>
      <c r="Y627" s="13"/>
      <c r="Z627" s="98">
        <v>1837000</v>
      </c>
      <c r="AA627" s="98">
        <v>1921000</v>
      </c>
      <c r="AB627" s="209"/>
      <c r="AE627" s="14"/>
      <c r="AF627" s="14"/>
      <c r="AG627" s="14"/>
      <c r="AH627" s="14"/>
      <c r="AI627" s="14"/>
      <c r="AJ627" s="13"/>
    </row>
    <row r="628" spans="1:36" ht="12.6" x14ac:dyDescent="0.45">
      <c r="A628" s="13"/>
      <c r="B628" s="226" t="s">
        <v>109</v>
      </c>
      <c r="C628" s="12">
        <v>2021</v>
      </c>
      <c r="D628" s="23">
        <f>Z628</f>
        <v>1883000</v>
      </c>
      <c r="E628" s="225">
        <v>1432076</v>
      </c>
      <c r="F628" s="225">
        <v>1025655</v>
      </c>
      <c r="G628" s="34">
        <f>D628-AA628</f>
        <v>-6000</v>
      </c>
      <c r="H628" s="14"/>
      <c r="O628" s="13"/>
      <c r="P628" s="13"/>
      <c r="Q628" s="13" t="str">
        <f>$A$622&amp;C628&amp;"INC"</f>
        <v>PCG2021INC</v>
      </c>
      <c r="R628" s="47">
        <f t="shared" ref="R628:R629" si="378">IF(SUM(E628:F628)/D628&gt;1,1,SUM(E628:F628)/D628)</f>
        <v>1</v>
      </c>
      <c r="S628" s="131">
        <v>0.53864528917638577</v>
      </c>
      <c r="T628" s="131">
        <v>0.46135471082361429</v>
      </c>
      <c r="U628" s="25">
        <f t="shared" si="377"/>
        <v>0.53864528917638577</v>
      </c>
      <c r="V628" s="25">
        <f t="shared" si="377"/>
        <v>0.46135471082361429</v>
      </c>
      <c r="W628" s="25"/>
      <c r="X628" s="25"/>
      <c r="Y628" s="13"/>
      <c r="Z628" s="98">
        <v>1883000</v>
      </c>
      <c r="AA628" s="98">
        <v>1889000</v>
      </c>
      <c r="AB628" s="209"/>
      <c r="AE628" s="14"/>
      <c r="AF628" s="14"/>
      <c r="AG628" s="14"/>
      <c r="AH628" s="14"/>
      <c r="AI628" s="14"/>
      <c r="AJ628" s="13"/>
    </row>
    <row r="629" spans="1:36" ht="12.6" x14ac:dyDescent="0.45">
      <c r="A629" s="13"/>
      <c r="B629" s="137"/>
      <c r="C629" s="88">
        <v>2020</v>
      </c>
      <c r="D629" s="23">
        <f>Z629</f>
        <v>1755000</v>
      </c>
      <c r="E629" s="225">
        <v>1065922</v>
      </c>
      <c r="F629" s="225">
        <v>887194</v>
      </c>
      <c r="G629" s="34">
        <f>D629-AA629</f>
        <v>24000</v>
      </c>
      <c r="H629" s="14"/>
      <c r="O629" s="13"/>
      <c r="P629" s="13"/>
      <c r="Q629" s="13" t="str">
        <f t="shared" ref="Q629" si="379">$A$622&amp;C629&amp;"INC"</f>
        <v>PCG2020INC</v>
      </c>
      <c r="R629" s="47">
        <f t="shared" si="378"/>
        <v>1</v>
      </c>
      <c r="S629" s="131">
        <v>0.58268215683490177</v>
      </c>
      <c r="T629" s="131">
        <v>0.41731784316509823</v>
      </c>
      <c r="U629" s="25">
        <f t="shared" si="377"/>
        <v>0.58268215683490177</v>
      </c>
      <c r="V629" s="25">
        <f t="shared" si="377"/>
        <v>0.41731784316509823</v>
      </c>
      <c r="W629" s="25"/>
      <c r="X629" s="25"/>
      <c r="Y629" s="13"/>
      <c r="Z629" s="98">
        <v>1755000</v>
      </c>
      <c r="AA629" s="98">
        <v>1731000</v>
      </c>
      <c r="AB629" s="209"/>
      <c r="AE629" s="14"/>
      <c r="AF629" s="14"/>
      <c r="AG629" s="14"/>
      <c r="AH629" s="14"/>
      <c r="AI629" s="227"/>
      <c r="AJ629" s="227"/>
    </row>
    <row r="630" spans="1:36" x14ac:dyDescent="0.4">
      <c r="A630" s="13"/>
      <c r="B630" s="11"/>
      <c r="C630" s="12"/>
      <c r="D630" s="46"/>
      <c r="E630" s="19"/>
      <c r="F630" s="19"/>
      <c r="G630" s="19"/>
      <c r="H630" s="14"/>
      <c r="O630" s="13"/>
      <c r="P630" s="13"/>
      <c r="Q630" s="13"/>
      <c r="R630" s="13"/>
      <c r="U630" s="13"/>
      <c r="V630" s="13"/>
      <c r="W630" s="13"/>
      <c r="X630" s="13"/>
      <c r="Y630" s="13"/>
      <c r="Z630" s="99"/>
      <c r="AA630" s="99"/>
      <c r="AB630" s="209"/>
      <c r="AE630" s="14"/>
      <c r="AF630" s="14"/>
      <c r="AG630" s="14"/>
      <c r="AH630" s="14"/>
      <c r="AI630" s="227"/>
      <c r="AJ630" s="227"/>
    </row>
    <row r="631" spans="1:36" ht="12.6" x14ac:dyDescent="0.45">
      <c r="A631" s="13"/>
      <c r="B631" s="11"/>
      <c r="C631" s="12">
        <v>2022</v>
      </c>
      <c r="D631" s="23">
        <f>Z631</f>
        <v>118644000</v>
      </c>
      <c r="E631" s="225">
        <f>($D631-$G631)*S631</f>
        <v>87388851.770392671</v>
      </c>
      <c r="F631" s="225">
        <f>($D631-$G631)*T631</f>
        <v>30989148.229607329</v>
      </c>
      <c r="G631" s="34">
        <f>D631-AA631</f>
        <v>266000</v>
      </c>
      <c r="H631" s="14"/>
      <c r="O631" s="13"/>
      <c r="P631" s="13"/>
      <c r="Q631" s="13" t="str">
        <f>$A$622&amp;C631&amp;"ASSETS"</f>
        <v>PCG2022ASSETS</v>
      </c>
      <c r="R631" s="47">
        <f t="shared" ref="R631" si="380">IF(SUM(E631:F631)/D631&gt;1,1,SUM(E631:F631)/D631)</f>
        <v>0.9977579987188564</v>
      </c>
      <c r="S631" s="131">
        <v>0.73821868734387019</v>
      </c>
      <c r="T631" s="131">
        <v>0.26178131265612975</v>
      </c>
      <c r="U631" s="25">
        <f t="shared" ref="U631:V633" si="381">IF(OR(ISBLANK($R631),ISBLANK(S631)),"NA",$R631*S631)</f>
        <v>0.73656360010108113</v>
      </c>
      <c r="V631" s="25">
        <f t="shared" si="381"/>
        <v>0.26119439861777527</v>
      </c>
      <c r="W631" s="13"/>
      <c r="X631" s="13"/>
      <c r="Y631" s="13"/>
      <c r="Z631" s="98">
        <v>118644000</v>
      </c>
      <c r="AA631" s="98">
        <v>118378000</v>
      </c>
      <c r="AB631" s="209"/>
      <c r="AE631" s="14"/>
      <c r="AF631" s="14"/>
      <c r="AG631" s="14"/>
      <c r="AH631" s="14"/>
      <c r="AI631" s="227"/>
      <c r="AJ631" s="227"/>
    </row>
    <row r="632" spans="1:36" ht="12.6" x14ac:dyDescent="0.45">
      <c r="A632" s="13"/>
      <c r="B632" s="226" t="s">
        <v>110</v>
      </c>
      <c r="C632" s="88">
        <v>2021</v>
      </c>
      <c r="D632" s="23">
        <f>Z632</f>
        <v>103327000</v>
      </c>
      <c r="E632" s="225">
        <f t="shared" ref="E632:F633" si="382">($D632-$G632)*S632</f>
        <v>76793606.986226082</v>
      </c>
      <c r="F632" s="225">
        <f t="shared" si="382"/>
        <v>26323393.013773914</v>
      </c>
      <c r="G632" s="34">
        <f>D632-AA632</f>
        <v>210000</v>
      </c>
      <c r="H632" s="14"/>
      <c r="O632" s="13"/>
      <c r="P632" s="13"/>
      <c r="Q632" s="13" t="str">
        <f>$A$622&amp;C632&amp;"ASSETS"</f>
        <v>PCG2021ASSETS</v>
      </c>
      <c r="R632" s="47">
        <f t="shared" ref="R632:R633" si="383">IF(SUM(E632:F632)/D632&gt;1,1,SUM(E632:F632)/D632)</f>
        <v>0.99796761737009687</v>
      </c>
      <c r="S632" s="131">
        <v>0.74472305232140268</v>
      </c>
      <c r="T632" s="131">
        <v>0.25527694767859727</v>
      </c>
      <c r="U632" s="25">
        <f t="shared" si="381"/>
        <v>0.7432094901257762</v>
      </c>
      <c r="V632" s="25">
        <f t="shared" si="381"/>
        <v>0.25475812724432062</v>
      </c>
      <c r="W632" s="25"/>
      <c r="X632" s="25"/>
      <c r="Y632" s="13"/>
      <c r="Z632" s="98">
        <v>103327000</v>
      </c>
      <c r="AA632" s="98">
        <v>103117000</v>
      </c>
      <c r="AB632" s="209"/>
      <c r="AE632" s="14"/>
      <c r="AF632" s="14"/>
      <c r="AG632" s="14"/>
      <c r="AH632" s="14"/>
      <c r="AI632" s="14"/>
      <c r="AJ632" s="13"/>
    </row>
    <row r="633" spans="1:36" ht="12.6" x14ac:dyDescent="0.45">
      <c r="A633" s="13"/>
      <c r="B633" s="137"/>
      <c r="C633" s="88">
        <v>2020</v>
      </c>
      <c r="D633" s="23">
        <f>Z633</f>
        <v>97856000</v>
      </c>
      <c r="E633" s="225">
        <f t="shared" si="382"/>
        <v>74144801.006936118</v>
      </c>
      <c r="F633" s="225">
        <f t="shared" si="382"/>
        <v>23317198.993063875</v>
      </c>
      <c r="G633" s="34">
        <f>D633-AA633</f>
        <v>394000</v>
      </c>
      <c r="H633" s="14"/>
      <c r="O633" s="13"/>
      <c r="P633" s="13"/>
      <c r="Q633" s="13" t="str">
        <f t="shared" ref="Q633" si="384">$A$622&amp;C633&amp;"ASSETS"</f>
        <v>PCG2020ASSETS</v>
      </c>
      <c r="R633" s="47">
        <f t="shared" si="383"/>
        <v>0.99597367560497052</v>
      </c>
      <c r="S633" s="131">
        <v>0.76075599728033616</v>
      </c>
      <c r="T633" s="131">
        <v>0.23924400271966381</v>
      </c>
      <c r="U633" s="25">
        <f t="shared" si="381"/>
        <v>0.75769294684982136</v>
      </c>
      <c r="V633" s="25">
        <f t="shared" si="381"/>
        <v>0.23828072875514913</v>
      </c>
      <c r="W633" s="25"/>
      <c r="X633" s="25"/>
      <c r="Y633" s="13"/>
      <c r="Z633" s="98">
        <v>97856000</v>
      </c>
      <c r="AA633" s="98">
        <v>97462000</v>
      </c>
      <c r="AB633" s="209"/>
      <c r="AE633" s="14"/>
      <c r="AF633" s="14"/>
      <c r="AG633" s="14"/>
      <c r="AH633" s="14"/>
      <c r="AI633" s="227"/>
      <c r="AJ633" s="227"/>
    </row>
    <row r="634" spans="1:36" x14ac:dyDescent="0.4">
      <c r="AE634" s="14"/>
      <c r="AF634" s="14"/>
      <c r="AG634" s="14"/>
      <c r="AH634" s="14"/>
      <c r="AI634" s="227"/>
      <c r="AJ634" s="227"/>
    </row>
    <row r="637" spans="1:36" x14ac:dyDescent="0.4">
      <c r="A637" s="10" t="s">
        <v>75</v>
      </c>
      <c r="B637" s="11"/>
      <c r="C637" s="12"/>
      <c r="D637" s="13"/>
      <c r="E637" s="24"/>
      <c r="F637" s="14"/>
      <c r="G637" s="14"/>
      <c r="H637" s="14"/>
      <c r="I637" s="39"/>
      <c r="J637" s="14"/>
      <c r="K637" s="39"/>
      <c r="L637" s="14"/>
      <c r="M637" s="14"/>
      <c r="N637" s="13"/>
      <c r="O637" s="13"/>
      <c r="P637" s="13"/>
      <c r="Q637" s="13"/>
      <c r="R637" s="13"/>
      <c r="S637" s="13"/>
      <c r="T637" s="13"/>
      <c r="U637" s="13"/>
      <c r="V637" s="13"/>
      <c r="W637" s="13"/>
      <c r="X637" s="13"/>
      <c r="Y637" s="13"/>
      <c r="Z637" s="13"/>
    </row>
    <row r="638" spans="1:36" x14ac:dyDescent="0.4">
      <c r="A638" s="13" t="s">
        <v>473</v>
      </c>
      <c r="B638" s="11"/>
      <c r="C638" s="12"/>
      <c r="D638" s="13"/>
      <c r="E638" s="24"/>
      <c r="F638" s="14"/>
      <c r="G638" s="14"/>
      <c r="H638" s="14"/>
      <c r="I638" s="14"/>
      <c r="J638" s="14"/>
      <c r="K638" s="14"/>
      <c r="L638" s="14"/>
      <c r="M638" s="14"/>
      <c r="N638" s="13"/>
      <c r="O638" s="13"/>
      <c r="P638" s="13"/>
      <c r="Q638" s="13"/>
      <c r="R638" s="13"/>
      <c r="S638" s="13"/>
      <c r="T638" s="13"/>
      <c r="U638" s="13"/>
      <c r="V638" s="13"/>
      <c r="W638" s="13"/>
      <c r="X638" s="13"/>
      <c r="Y638" s="13"/>
      <c r="Z638" s="13"/>
    </row>
    <row r="639" spans="1:36" ht="36.9" x14ac:dyDescent="0.4">
      <c r="A639" s="221" t="s">
        <v>76</v>
      </c>
      <c r="B639" s="11" t="s">
        <v>187</v>
      </c>
      <c r="C639" s="12"/>
      <c r="D639" s="12" t="s">
        <v>96</v>
      </c>
      <c r="E639" s="26" t="s">
        <v>211</v>
      </c>
      <c r="F639" s="14" t="s">
        <v>207</v>
      </c>
      <c r="G639" s="14"/>
      <c r="H639" s="14"/>
      <c r="I639" s="14"/>
      <c r="J639" s="14"/>
      <c r="K639" s="14"/>
      <c r="L639" s="14"/>
      <c r="M639" s="14"/>
      <c r="N639" s="13"/>
      <c r="O639" s="13"/>
      <c r="P639" s="13"/>
      <c r="Q639" s="20"/>
      <c r="R639" s="21" t="s">
        <v>102</v>
      </c>
      <c r="S639" s="21" t="s">
        <v>103</v>
      </c>
      <c r="T639" s="21" t="s">
        <v>104</v>
      </c>
      <c r="U639" s="21" t="s">
        <v>105</v>
      </c>
      <c r="V639" s="21" t="s">
        <v>106</v>
      </c>
      <c r="W639" s="22"/>
      <c r="X639" s="22"/>
      <c r="Y639" s="13"/>
      <c r="Z639" s="21" t="s">
        <v>212</v>
      </c>
    </row>
    <row r="640" spans="1:36" ht="14.4" x14ac:dyDescent="0.55000000000000004">
      <c r="A640" s="10"/>
      <c r="B640" s="11"/>
      <c r="C640" s="12">
        <v>2022</v>
      </c>
      <c r="D640" s="152">
        <f>SUM(E640:F640)</f>
        <v>4324385</v>
      </c>
      <c r="E640" s="26">
        <v>4324385</v>
      </c>
      <c r="F640" s="14">
        <f>Z640-E640</f>
        <v>0</v>
      </c>
      <c r="G640" s="14"/>
      <c r="H640" s="14"/>
      <c r="I640" s="14"/>
      <c r="J640" s="14"/>
      <c r="K640" s="14"/>
      <c r="L640" s="14"/>
      <c r="M640" s="14"/>
      <c r="N640" s="13"/>
      <c r="O640" s="13"/>
      <c r="P640" s="13"/>
      <c r="Q640" s="149" t="str">
        <f>$A$639&amp;C640&amp;"REV"</f>
        <v>PNW2022REV</v>
      </c>
      <c r="R640" s="47">
        <f>IF(E640/D640&gt;1,1,E640/D640)</f>
        <v>1</v>
      </c>
      <c r="S640" s="47">
        <f>E640/E640</f>
        <v>1</v>
      </c>
      <c r="T640" s="47">
        <v>0</v>
      </c>
      <c r="U640" s="128">
        <f t="shared" ref="U640:V642" si="385">IF(OR(ISBLANK($R640),ISBLANK(S640)),"NA",$R640*S640)</f>
        <v>1</v>
      </c>
      <c r="V640" s="128">
        <f t="shared" si="385"/>
        <v>0</v>
      </c>
      <c r="W640" s="22"/>
      <c r="X640" s="22"/>
      <c r="Y640" s="13"/>
      <c r="Z640" s="150">
        <v>4324385</v>
      </c>
    </row>
    <row r="641" spans="1:27" ht="14.4" x14ac:dyDescent="0.55000000000000004">
      <c r="A641" s="13"/>
      <c r="B641" s="11" t="s">
        <v>107</v>
      </c>
      <c r="C641" s="12">
        <v>2021</v>
      </c>
      <c r="D641" s="152">
        <f>SUM(E641:F641)</f>
        <v>3803835</v>
      </c>
      <c r="E641" s="26">
        <v>3803835</v>
      </c>
      <c r="F641" s="14">
        <f>Z641-E641</f>
        <v>0</v>
      </c>
      <c r="G641" s="14"/>
      <c r="H641" s="14"/>
      <c r="I641" s="14"/>
      <c r="J641" s="14"/>
      <c r="K641" s="14"/>
      <c r="L641" s="14"/>
      <c r="M641" s="14"/>
      <c r="N641" s="13"/>
      <c r="O641" s="13"/>
      <c r="P641" s="13"/>
      <c r="Q641" s="13" t="str">
        <f>$A$639&amp;C641&amp;"REV"</f>
        <v>PNW2021REV</v>
      </c>
      <c r="R641" s="47">
        <f>IF(E641/D641&gt;1,1,E641/D641)</f>
        <v>1</v>
      </c>
      <c r="S641" s="47">
        <f>E641/E641</f>
        <v>1</v>
      </c>
      <c r="T641" s="47">
        <v>0</v>
      </c>
      <c r="U641" s="25">
        <f t="shared" si="385"/>
        <v>1</v>
      </c>
      <c r="V641" s="25">
        <f t="shared" si="385"/>
        <v>0</v>
      </c>
      <c r="W641" s="25"/>
      <c r="X641" s="25"/>
      <c r="Y641" s="13"/>
      <c r="Z641" s="150">
        <v>3803835</v>
      </c>
    </row>
    <row r="642" spans="1:27" x14ac:dyDescent="0.4">
      <c r="A642" s="13"/>
      <c r="B642" s="137"/>
      <c r="C642" s="88">
        <v>2020</v>
      </c>
      <c r="D642" s="23">
        <f>SUM(E642:M642)</f>
        <v>3586982</v>
      </c>
      <c r="E642" s="26">
        <v>3586982</v>
      </c>
      <c r="F642" s="14">
        <f>Z642-E642</f>
        <v>0</v>
      </c>
      <c r="G642" s="14"/>
      <c r="H642" s="14"/>
      <c r="I642" s="14"/>
      <c r="J642" s="14"/>
      <c r="K642" s="14"/>
      <c r="L642" s="14"/>
      <c r="M642" s="14"/>
      <c r="N642" s="13"/>
      <c r="O642" s="13"/>
      <c r="P642" s="13"/>
      <c r="Q642" s="13" t="str">
        <f t="shared" ref="Q642" si="386">$A$639&amp;C642&amp;"REV"</f>
        <v>PNW2020REV</v>
      </c>
      <c r="R642" s="47">
        <f t="shared" ref="R642" si="387">IF(E642/D642&gt;1,1,E642/D642)</f>
        <v>1</v>
      </c>
      <c r="S642" s="47">
        <f>E642/E642</f>
        <v>1</v>
      </c>
      <c r="T642" s="47">
        <v>0</v>
      </c>
      <c r="U642" s="25">
        <f t="shared" si="385"/>
        <v>1</v>
      </c>
      <c r="V642" s="25">
        <f t="shared" si="385"/>
        <v>0</v>
      </c>
      <c r="W642" s="25"/>
      <c r="X642" s="25"/>
      <c r="Y642" s="13"/>
      <c r="Z642" s="26">
        <v>3586982</v>
      </c>
    </row>
    <row r="643" spans="1:27" x14ac:dyDescent="0.4">
      <c r="A643" s="13"/>
      <c r="B643" s="11"/>
      <c r="C643" s="12"/>
      <c r="D643" s="13"/>
      <c r="E643" s="24"/>
      <c r="F643" s="14"/>
      <c r="G643" s="14"/>
      <c r="H643" s="14"/>
      <c r="I643" s="14"/>
      <c r="J643" s="14"/>
      <c r="K643" s="14"/>
      <c r="L643" s="14"/>
      <c r="M643" s="14"/>
      <c r="N643" s="13"/>
      <c r="O643" s="13"/>
      <c r="P643" s="13"/>
      <c r="Q643" s="13"/>
      <c r="R643" s="13"/>
      <c r="S643" s="13"/>
      <c r="T643" s="13"/>
      <c r="U643" s="13"/>
      <c r="V643" s="13"/>
      <c r="W643" s="13"/>
      <c r="X643" s="13"/>
      <c r="Y643" s="13"/>
      <c r="Z643" s="26"/>
    </row>
    <row r="644" spans="1:27" ht="14.4" x14ac:dyDescent="0.55000000000000004">
      <c r="A644" s="13"/>
      <c r="B644" s="11"/>
      <c r="C644" s="12">
        <v>2022</v>
      </c>
      <c r="D644" s="45">
        <f>SUM(E644:F644)</f>
        <v>731911</v>
      </c>
      <c r="E644" s="24">
        <v>744941</v>
      </c>
      <c r="F644" s="14">
        <f>Z644-E644</f>
        <v>-13030</v>
      </c>
      <c r="G644" s="14"/>
      <c r="H644" s="14"/>
      <c r="I644" s="14"/>
      <c r="J644" s="14"/>
      <c r="K644" s="14"/>
      <c r="L644" s="14"/>
      <c r="M644" s="14"/>
      <c r="N644" s="13"/>
      <c r="O644" s="13"/>
      <c r="P644" s="13"/>
      <c r="Q644" s="13" t="str">
        <f>$A$639&amp;C644&amp;"INC"</f>
        <v>PNW2022INC</v>
      </c>
      <c r="R644" s="47">
        <f>IF(E644/D644&gt;1,1,E644/D644)</f>
        <v>1</v>
      </c>
      <c r="S644" s="47">
        <f>E644/E644</f>
        <v>1</v>
      </c>
      <c r="T644" s="47">
        <v>0</v>
      </c>
      <c r="U644" s="128">
        <f t="shared" ref="U644:V646" si="388">IF(OR(ISBLANK($R644),ISBLANK(S644)),"NA",$R644*S644)</f>
        <v>1</v>
      </c>
      <c r="V644" s="128">
        <f t="shared" si="388"/>
        <v>0</v>
      </c>
      <c r="W644" s="13"/>
      <c r="X644" s="13"/>
      <c r="Y644" s="13"/>
      <c r="Z644" s="26">
        <v>731911</v>
      </c>
    </row>
    <row r="645" spans="1:27" x14ac:dyDescent="0.4">
      <c r="A645" s="13"/>
      <c r="B645" s="11" t="s">
        <v>109</v>
      </c>
      <c r="C645" s="12">
        <v>2021</v>
      </c>
      <c r="D645" s="45">
        <f>SUM(E645:F645)</f>
        <v>805310</v>
      </c>
      <c r="E645" s="24">
        <v>818961</v>
      </c>
      <c r="F645" s="14">
        <f>Z645-E645</f>
        <v>-13651</v>
      </c>
      <c r="G645" s="14"/>
      <c r="H645" s="14"/>
      <c r="I645" s="14"/>
      <c r="J645" s="14"/>
      <c r="K645" s="14"/>
      <c r="L645" s="14"/>
      <c r="M645" s="14"/>
      <c r="N645" s="13"/>
      <c r="O645" s="13"/>
      <c r="P645" s="13"/>
      <c r="Q645" s="13" t="str">
        <f>$A$639&amp;C645&amp;"INC"</f>
        <v>PNW2021INC</v>
      </c>
      <c r="R645" s="47">
        <f>IF(E645/D645&gt;1,1,E645/D645)</f>
        <v>1</v>
      </c>
      <c r="S645" s="47">
        <f>E645/E645</f>
        <v>1</v>
      </c>
      <c r="T645" s="47">
        <v>0</v>
      </c>
      <c r="U645" s="25">
        <f t="shared" si="388"/>
        <v>1</v>
      </c>
      <c r="V645" s="25">
        <f t="shared" si="388"/>
        <v>0</v>
      </c>
      <c r="W645" s="25"/>
      <c r="X645" s="25"/>
      <c r="Y645" s="13"/>
      <c r="Z645" s="26">
        <v>805310</v>
      </c>
    </row>
    <row r="646" spans="1:27" x14ac:dyDescent="0.4">
      <c r="A646" s="13"/>
      <c r="B646" s="137"/>
      <c r="C646" s="88">
        <v>2020</v>
      </c>
      <c r="D646" s="23">
        <f t="shared" ref="D646" si="389">SUM(E646:M646)</f>
        <v>788152</v>
      </c>
      <c r="E646" s="24">
        <v>802011</v>
      </c>
      <c r="F646" s="14">
        <f>Z646-E646</f>
        <v>-13859</v>
      </c>
      <c r="G646" s="14"/>
      <c r="H646" s="14"/>
      <c r="I646" s="14"/>
      <c r="J646" s="14"/>
      <c r="K646" s="14"/>
      <c r="L646" s="14"/>
      <c r="M646" s="14"/>
      <c r="N646" s="13"/>
      <c r="O646" s="13"/>
      <c r="P646" s="13"/>
      <c r="Q646" s="13" t="str">
        <f t="shared" ref="Q646" si="390">$A$639&amp;C646&amp;"INC"</f>
        <v>PNW2020INC</v>
      </c>
      <c r="R646" s="47">
        <f t="shared" ref="R646" si="391">IF(E646/D646&gt;1,1,E646/D646)</f>
        <v>1</v>
      </c>
      <c r="S646" s="47">
        <f>E646/E646</f>
        <v>1</v>
      </c>
      <c r="T646" s="47">
        <v>0</v>
      </c>
      <c r="U646" s="25">
        <f t="shared" si="388"/>
        <v>1</v>
      </c>
      <c r="V646" s="25">
        <f t="shared" si="388"/>
        <v>0</v>
      </c>
      <c r="W646" s="25"/>
      <c r="X646" s="25"/>
      <c r="Y646" s="13"/>
      <c r="Z646" s="26">
        <v>788152</v>
      </c>
    </row>
    <row r="647" spans="1:27" x14ac:dyDescent="0.4">
      <c r="A647" s="13"/>
      <c r="B647" s="11"/>
      <c r="C647" s="12"/>
      <c r="D647" s="46"/>
      <c r="E647" s="24"/>
      <c r="F647" s="14"/>
      <c r="G647" s="14"/>
      <c r="H647" s="14"/>
      <c r="I647" s="14"/>
      <c r="J647" s="14"/>
      <c r="K647" s="14"/>
      <c r="L647" s="14"/>
      <c r="M647" s="14"/>
      <c r="N647" s="13"/>
      <c r="O647" s="13"/>
      <c r="P647" s="13"/>
      <c r="Q647" s="13"/>
      <c r="R647" s="13"/>
      <c r="S647" s="13"/>
      <c r="T647" s="13"/>
      <c r="U647" s="13"/>
      <c r="V647" s="13"/>
      <c r="W647" s="13"/>
      <c r="X647" s="13"/>
      <c r="Y647" s="13"/>
      <c r="Z647" s="26"/>
    </row>
    <row r="648" spans="1:27" ht="14.4" x14ac:dyDescent="0.55000000000000004">
      <c r="A648" s="13"/>
      <c r="B648" s="11"/>
      <c r="C648" s="12">
        <v>2022</v>
      </c>
      <c r="D648" s="146">
        <f>SUM(E648:M648)</f>
        <v>22723405</v>
      </c>
      <c r="E648" s="24">
        <v>22543852</v>
      </c>
      <c r="F648" s="14">
        <f>Z648-E648</f>
        <v>179553</v>
      </c>
      <c r="G648" s="14"/>
      <c r="H648" s="14"/>
      <c r="I648" s="14"/>
      <c r="J648" s="14"/>
      <c r="K648" s="14"/>
      <c r="L648" s="14"/>
      <c r="M648" s="14"/>
      <c r="N648" s="13"/>
      <c r="O648" s="13"/>
      <c r="P648" s="13"/>
      <c r="Q648" s="13" t="str">
        <f>$A$639&amp;C648&amp;"ASSETS"</f>
        <v>PNW2022ASSETS</v>
      </c>
      <c r="R648" s="47">
        <f>IF(E648/D648&gt;1,1,E648/D648)</f>
        <v>0.9920983232926579</v>
      </c>
      <c r="S648" s="47">
        <f>E648/E648</f>
        <v>1</v>
      </c>
      <c r="T648" s="47">
        <v>0</v>
      </c>
      <c r="U648" s="128">
        <f t="shared" ref="U648:V650" si="392">IF(OR(ISBLANK($R648),ISBLANK(S648)),"NA",$R648*S648)</f>
        <v>0.9920983232926579</v>
      </c>
      <c r="V648" s="128">
        <f t="shared" si="392"/>
        <v>0</v>
      </c>
      <c r="W648" s="13"/>
      <c r="X648" s="13"/>
      <c r="Y648" s="13"/>
      <c r="Z648" s="26">
        <v>22723405</v>
      </c>
    </row>
    <row r="649" spans="1:27" ht="14.4" x14ac:dyDescent="0.55000000000000004">
      <c r="A649" s="13"/>
      <c r="B649" s="11" t="s">
        <v>110</v>
      </c>
      <c r="C649" s="12">
        <v>2021</v>
      </c>
      <c r="D649" s="146">
        <f>SUM(E649:M649)</f>
        <v>22003222</v>
      </c>
      <c r="E649" s="24">
        <v>21909656</v>
      </c>
      <c r="F649" s="14">
        <f>Z649-E649</f>
        <v>93566</v>
      </c>
      <c r="G649" s="14"/>
      <c r="H649" s="14"/>
      <c r="I649" s="14"/>
      <c r="J649" s="14"/>
      <c r="K649" s="14"/>
      <c r="L649" s="14"/>
      <c r="M649" s="14"/>
      <c r="N649" s="13"/>
      <c r="O649" s="13"/>
      <c r="P649" s="13"/>
      <c r="Q649" s="13" t="str">
        <f>$A$639&amp;C649&amp;"ASSETS"</f>
        <v>PNW2021ASSETS</v>
      </c>
      <c r="R649" s="47">
        <f t="shared" ref="R649:R650" si="393">IF(E649/D649&gt;1,1,E649/D649)</f>
        <v>0.99574762277997286</v>
      </c>
      <c r="S649" s="47">
        <f>E649/E649</f>
        <v>1</v>
      </c>
      <c r="T649" s="47">
        <v>0</v>
      </c>
      <c r="U649" s="25">
        <f t="shared" si="392"/>
        <v>0.99574762277997286</v>
      </c>
      <c r="V649" s="25">
        <f t="shared" si="392"/>
        <v>0</v>
      </c>
      <c r="W649" s="25"/>
      <c r="X649" s="25"/>
      <c r="Y649" s="13"/>
      <c r="Z649" s="26">
        <v>22003222</v>
      </c>
    </row>
    <row r="650" spans="1:27" x14ac:dyDescent="0.4">
      <c r="A650" s="13"/>
      <c r="B650" s="137"/>
      <c r="C650" s="88">
        <v>2020</v>
      </c>
      <c r="D650" s="23">
        <f t="shared" ref="D650" si="394">SUM(E650:M650)</f>
        <v>20020421</v>
      </c>
      <c r="E650" s="24">
        <v>19924251</v>
      </c>
      <c r="F650" s="14">
        <f>Z650-E650</f>
        <v>96170</v>
      </c>
      <c r="G650" s="14"/>
      <c r="H650" s="14"/>
      <c r="I650" s="14"/>
      <c r="J650" s="14"/>
      <c r="K650" s="14"/>
      <c r="L650" s="14"/>
      <c r="M650" s="14"/>
      <c r="N650" s="13"/>
      <c r="O650" s="13"/>
      <c r="P650" s="13"/>
      <c r="Q650" s="13" t="str">
        <f t="shared" ref="Q650" si="395">$A$639&amp;C650&amp;"ASSETS"</f>
        <v>PNW2020ASSETS</v>
      </c>
      <c r="R650" s="47">
        <f t="shared" si="393"/>
        <v>0.99519640471096982</v>
      </c>
      <c r="S650" s="47">
        <f>E650/E650</f>
        <v>1</v>
      </c>
      <c r="T650" s="47">
        <v>0</v>
      </c>
      <c r="U650" s="25">
        <f t="shared" si="392"/>
        <v>0.99519640471096982</v>
      </c>
      <c r="V650" s="25">
        <f t="shared" si="392"/>
        <v>0</v>
      </c>
      <c r="W650" s="25"/>
      <c r="X650" s="25"/>
      <c r="Y650" s="13"/>
      <c r="Z650" s="26">
        <v>20020421</v>
      </c>
    </row>
    <row r="651" spans="1:27" x14ac:dyDescent="0.4">
      <c r="Z651" s="179">
        <f>AVERAGE(S649:S650)</f>
        <v>1</v>
      </c>
    </row>
    <row r="654" spans="1:27" x14ac:dyDescent="0.4">
      <c r="A654" s="10" t="s">
        <v>77</v>
      </c>
      <c r="B654" s="11"/>
      <c r="C654" s="12"/>
      <c r="D654" s="13"/>
      <c r="E654" s="24"/>
      <c r="F654" s="24"/>
      <c r="G654" s="14"/>
      <c r="H654" s="100"/>
      <c r="I654" s="101"/>
      <c r="J654" s="101"/>
      <c r="K654" s="14"/>
      <c r="L654" s="14"/>
      <c r="M654" s="14"/>
      <c r="N654" s="13"/>
      <c r="O654" s="13"/>
      <c r="P654" s="13"/>
      <c r="Q654" s="13"/>
      <c r="R654" s="13"/>
      <c r="S654" s="13"/>
      <c r="T654" s="13"/>
      <c r="U654" s="13"/>
      <c r="V654" s="13"/>
      <c r="W654" s="13"/>
      <c r="X654" s="13"/>
    </row>
    <row r="655" spans="1:27" x14ac:dyDescent="0.4">
      <c r="A655" s="13" t="s">
        <v>474</v>
      </c>
      <c r="B655" s="11"/>
      <c r="C655" s="12"/>
      <c r="D655" s="13"/>
      <c r="E655" s="24"/>
      <c r="F655" s="24"/>
      <c r="G655" s="24"/>
      <c r="H655" s="14"/>
      <c r="I655" s="14"/>
      <c r="J655" s="14"/>
      <c r="K655" s="14"/>
      <c r="L655" s="14"/>
      <c r="M655" s="14"/>
      <c r="N655" s="13"/>
      <c r="O655" s="13"/>
      <c r="P655" s="13"/>
      <c r="Q655" s="13"/>
      <c r="R655" s="13"/>
      <c r="S655" s="13"/>
      <c r="T655" s="13"/>
      <c r="U655" s="13"/>
      <c r="V655" s="13"/>
      <c r="W655" s="13"/>
      <c r="X655" s="13"/>
    </row>
    <row r="656" spans="1:27" ht="36.9" x14ac:dyDescent="0.4">
      <c r="A656" s="10" t="s">
        <v>78</v>
      </c>
      <c r="B656" s="11" t="s">
        <v>187</v>
      </c>
      <c r="C656" s="12"/>
      <c r="D656" s="22" t="s">
        <v>96</v>
      </c>
      <c r="E656" s="26" t="s">
        <v>213</v>
      </c>
      <c r="F656" s="26" t="s">
        <v>214</v>
      </c>
      <c r="G656" s="26" t="s">
        <v>100</v>
      </c>
      <c r="H656" s="41"/>
      <c r="I656" s="14"/>
      <c r="J656" s="14"/>
      <c r="K656" s="14"/>
      <c r="L656" s="14"/>
      <c r="M656" s="14"/>
      <c r="N656" s="13"/>
      <c r="O656" s="13"/>
      <c r="P656" s="13"/>
      <c r="Q656" s="20"/>
      <c r="R656" s="21" t="s">
        <v>102</v>
      </c>
      <c r="S656" s="21" t="s">
        <v>103</v>
      </c>
      <c r="T656" s="21" t="s">
        <v>104</v>
      </c>
      <c r="U656" s="21" t="s">
        <v>105</v>
      </c>
      <c r="V656" s="21" t="s">
        <v>106</v>
      </c>
      <c r="W656" s="22"/>
      <c r="X656" s="22"/>
      <c r="Z656" s="228" t="s">
        <v>215</v>
      </c>
      <c r="AA656" s="137" t="s">
        <v>475</v>
      </c>
    </row>
    <row r="657" spans="1:26" x14ac:dyDescent="0.4">
      <c r="A657" s="10"/>
      <c r="B657" s="11"/>
      <c r="C657" s="12">
        <v>2022</v>
      </c>
      <c r="D657" s="23">
        <f>SUM(E657:M657)</f>
        <v>2249555</v>
      </c>
      <c r="E657" s="26">
        <v>1766825</v>
      </c>
      <c r="F657" s="26">
        <v>482730</v>
      </c>
      <c r="G657" s="26">
        <f>Z657-F657-E657</f>
        <v>0</v>
      </c>
      <c r="H657" s="41"/>
      <c r="I657" s="14"/>
      <c r="J657" s="14"/>
      <c r="K657" s="14"/>
      <c r="L657" s="14"/>
      <c r="M657" s="14"/>
      <c r="N657" s="13"/>
      <c r="O657" s="13"/>
      <c r="P657" s="13"/>
      <c r="Q657" s="13" t="str">
        <f>$A$656&amp;C657&amp;"REV"</f>
        <v>PNM2022REV</v>
      </c>
      <c r="R657" s="47">
        <f>IF(SUM(E657:F657)/D657&gt;1,1,SUM(E657:F657)/D657)</f>
        <v>1</v>
      </c>
      <c r="S657" s="47">
        <f>SUM(E657:F657)/SUM(E657:F657)</f>
        <v>1</v>
      </c>
      <c r="T657" s="47">
        <v>0</v>
      </c>
      <c r="U657" s="25">
        <f t="shared" ref="U657:V659" si="396">IF(OR(ISBLANK($R657),ISBLANK(S657)),"NA",$R657*S657)</f>
        <v>1</v>
      </c>
      <c r="V657" s="25">
        <f t="shared" si="396"/>
        <v>0</v>
      </c>
      <c r="W657" s="22"/>
      <c r="X657" s="22"/>
      <c r="Z657" s="191">
        <v>2249555</v>
      </c>
    </row>
    <row r="658" spans="1:26" x14ac:dyDescent="0.4">
      <c r="A658" s="13"/>
      <c r="B658" s="11" t="s">
        <v>107</v>
      </c>
      <c r="C658" s="88">
        <v>2021</v>
      </c>
      <c r="D658" s="23">
        <f>SUM(E658:M658)</f>
        <v>1779873</v>
      </c>
      <c r="E658" s="26">
        <v>1362020</v>
      </c>
      <c r="F658" s="26">
        <v>417853</v>
      </c>
      <c r="G658" s="26">
        <f>Z658-F658-E658</f>
        <v>0</v>
      </c>
      <c r="H658" s="41"/>
      <c r="I658" s="14"/>
      <c r="J658" s="14"/>
      <c r="K658" s="14"/>
      <c r="L658" s="14"/>
      <c r="M658" s="14"/>
      <c r="N658" s="13"/>
      <c r="O658" s="13"/>
      <c r="P658" s="13"/>
      <c r="Q658" s="13" t="str">
        <f>$A$656&amp;C658&amp;"REV"</f>
        <v>PNM2021REV</v>
      </c>
      <c r="R658" s="47">
        <f>IF(SUM(E658:F658)/D658&gt;1,1,SUM(E658:F658)/D658)</f>
        <v>1</v>
      </c>
      <c r="S658" s="47">
        <f>SUM(E658:F658)/SUM(E658:F658)</f>
        <v>1</v>
      </c>
      <c r="T658" s="47">
        <v>0</v>
      </c>
      <c r="U658" s="25">
        <f t="shared" si="396"/>
        <v>1</v>
      </c>
      <c r="V658" s="25">
        <f t="shared" si="396"/>
        <v>0</v>
      </c>
      <c r="W658" s="25"/>
      <c r="X658" s="25"/>
      <c r="Z658" s="137">
        <v>1779873</v>
      </c>
    </row>
    <row r="659" spans="1:26" x14ac:dyDescent="0.4">
      <c r="A659" s="13"/>
      <c r="B659" s="137"/>
      <c r="C659" s="88">
        <v>2020</v>
      </c>
      <c r="D659" s="23">
        <f>SUM(E659:M659)</f>
        <v>1523012</v>
      </c>
      <c r="E659" s="26">
        <v>1139834</v>
      </c>
      <c r="F659" s="26">
        <v>383178</v>
      </c>
      <c r="G659" s="26">
        <f>Z659-F659-E659</f>
        <v>0</v>
      </c>
      <c r="H659" s="14"/>
      <c r="I659" s="14"/>
      <c r="J659" s="14"/>
      <c r="K659" s="14"/>
      <c r="L659" s="14"/>
      <c r="M659" s="14"/>
      <c r="N659" s="13"/>
      <c r="O659" s="13"/>
      <c r="P659" s="13"/>
      <c r="Q659" s="13" t="str">
        <f t="shared" ref="Q659" si="397">$A$656&amp;C659&amp;"REV"</f>
        <v>PNM2020REV</v>
      </c>
      <c r="R659" s="47">
        <f t="shared" ref="R659" si="398">IF(SUM(E659:F659)/D659&gt;1,1,SUM(E659:F659)/D659)</f>
        <v>1</v>
      </c>
      <c r="S659" s="47">
        <f>SUM(E659:F659)/SUM(E659:F659)</f>
        <v>1</v>
      </c>
      <c r="T659" s="47">
        <v>0</v>
      </c>
      <c r="U659" s="25">
        <f t="shared" si="396"/>
        <v>1</v>
      </c>
      <c r="V659" s="25">
        <f t="shared" si="396"/>
        <v>0</v>
      </c>
      <c r="W659" s="25"/>
      <c r="X659" s="25"/>
      <c r="Z659" s="137">
        <v>1523012</v>
      </c>
    </row>
    <row r="660" spans="1:26" x14ac:dyDescent="0.4">
      <c r="A660" s="13"/>
      <c r="B660" s="11"/>
      <c r="C660" s="12"/>
      <c r="D660" s="13"/>
      <c r="E660" s="24"/>
      <c r="F660" s="24"/>
      <c r="G660" s="24"/>
      <c r="H660" s="14"/>
      <c r="I660" s="14"/>
      <c r="J660" s="14"/>
      <c r="K660" s="14"/>
      <c r="L660" s="14"/>
      <c r="M660" s="14"/>
      <c r="N660" s="13"/>
      <c r="O660" s="13"/>
      <c r="P660" s="13"/>
      <c r="Q660" s="13"/>
      <c r="R660" s="13"/>
      <c r="S660" s="13"/>
      <c r="T660" s="13"/>
      <c r="U660" s="13"/>
      <c r="V660" s="13"/>
      <c r="W660" s="13"/>
      <c r="X660" s="13"/>
      <c r="Z660" s="179"/>
    </row>
    <row r="661" spans="1:26" x14ac:dyDescent="0.4">
      <c r="A661" s="13"/>
      <c r="B661" s="11"/>
      <c r="C661" s="12">
        <v>2022</v>
      </c>
      <c r="D661" s="45">
        <f>SUM(E661:G661)</f>
        <v>393760</v>
      </c>
      <c r="E661" s="24">
        <v>261487</v>
      </c>
      <c r="F661" s="24">
        <v>135967</v>
      </c>
      <c r="G661" s="26">
        <f t="shared" ref="G661:G663" si="399">Z661-F661-E661</f>
        <v>-3694</v>
      </c>
      <c r="H661" s="14"/>
      <c r="I661" s="14"/>
      <c r="J661" s="14"/>
      <c r="K661" s="14"/>
      <c r="L661" s="14"/>
      <c r="M661" s="14"/>
      <c r="N661" s="13"/>
      <c r="O661" s="13"/>
      <c r="P661" s="13"/>
      <c r="Q661" s="13" t="str">
        <f>$A$656&amp;C661&amp;"INC"</f>
        <v>PNM2022INC</v>
      </c>
      <c r="R661" s="47">
        <f t="shared" ref="R661" si="400">IF(SUM(E661:F661)/D661&gt;1,1,SUM(E661:F661)/D661)</f>
        <v>1</v>
      </c>
      <c r="S661" s="47">
        <f>SUM(E661:F661)/SUM(E661:F661)</f>
        <v>1</v>
      </c>
      <c r="T661" s="47">
        <v>0</v>
      </c>
      <c r="U661" s="25">
        <f t="shared" ref="U661:V663" si="401">IF(OR(ISBLANK($R661),ISBLANK(S661)),"NA",$R661*S661)</f>
        <v>1</v>
      </c>
      <c r="V661" s="25">
        <f t="shared" si="401"/>
        <v>0</v>
      </c>
      <c r="W661" s="13"/>
      <c r="X661" s="13"/>
      <c r="Z661" s="137">
        <v>393760</v>
      </c>
    </row>
    <row r="662" spans="1:26" x14ac:dyDescent="0.4">
      <c r="A662" s="13"/>
      <c r="B662" s="11" t="s">
        <v>109</v>
      </c>
      <c r="C662" s="12">
        <v>2021</v>
      </c>
      <c r="D662" s="23">
        <f t="shared" ref="D662" si="402">SUM(E662:M662)</f>
        <v>308153</v>
      </c>
      <c r="E662" s="24">
        <v>221497</v>
      </c>
      <c r="F662" s="24">
        <v>100118</v>
      </c>
      <c r="G662" s="26">
        <f t="shared" si="399"/>
        <v>-13462</v>
      </c>
      <c r="H662" s="14"/>
      <c r="I662" s="14"/>
      <c r="J662" s="14"/>
      <c r="K662" s="14"/>
      <c r="L662" s="14"/>
      <c r="M662" s="14"/>
      <c r="N662" s="13"/>
      <c r="O662" s="13"/>
      <c r="P662" s="13"/>
      <c r="Q662" s="13" t="str">
        <f>$A$656&amp;C662&amp;"INC"</f>
        <v>PNM2021INC</v>
      </c>
      <c r="R662" s="47">
        <f t="shared" ref="R662:R663" si="403">IF(SUM(E662:F662)/D662&gt;1,1,SUM(E662:F662)/D662)</f>
        <v>1</v>
      </c>
      <c r="S662" s="47">
        <f>SUM(E662:F662)/SUM(E662:F662)</f>
        <v>1</v>
      </c>
      <c r="T662" s="47">
        <v>0</v>
      </c>
      <c r="U662" s="25">
        <f t="shared" si="401"/>
        <v>1</v>
      </c>
      <c r="V662" s="25">
        <f t="shared" si="401"/>
        <v>0</v>
      </c>
      <c r="W662" s="25"/>
      <c r="X662" s="25"/>
      <c r="Z662" s="137">
        <v>308153</v>
      </c>
    </row>
    <row r="663" spans="1:26" x14ac:dyDescent="0.4">
      <c r="A663" s="13"/>
      <c r="B663" s="137"/>
      <c r="C663" s="88">
        <v>2020</v>
      </c>
      <c r="D663" s="23">
        <f t="shared" ref="D663" si="404">SUM(E663:M663)</f>
        <v>285281</v>
      </c>
      <c r="E663" s="24">
        <v>214897</v>
      </c>
      <c r="F663" s="24">
        <v>88453</v>
      </c>
      <c r="G663" s="26">
        <f t="shared" si="399"/>
        <v>-18069</v>
      </c>
      <c r="H663" s="14"/>
      <c r="I663" s="14"/>
      <c r="J663" s="14"/>
      <c r="K663" s="14"/>
      <c r="L663" s="14"/>
      <c r="M663" s="14"/>
      <c r="N663" s="13"/>
      <c r="O663" s="13"/>
      <c r="P663" s="13"/>
      <c r="Q663" s="13" t="str">
        <f t="shared" ref="Q663" si="405">$A$656&amp;C663&amp;"INC"</f>
        <v>PNM2020INC</v>
      </c>
      <c r="R663" s="47">
        <f t="shared" si="403"/>
        <v>1</v>
      </c>
      <c r="S663" s="47">
        <f>SUM(E663:F663)/SUM(E663:F663)</f>
        <v>1</v>
      </c>
      <c r="T663" s="47">
        <v>0</v>
      </c>
      <c r="U663" s="25">
        <f t="shared" si="401"/>
        <v>1</v>
      </c>
      <c r="V663" s="25">
        <f t="shared" si="401"/>
        <v>0</v>
      </c>
      <c r="W663" s="25"/>
      <c r="X663" s="25"/>
      <c r="Z663" s="137">
        <v>285281</v>
      </c>
    </row>
    <row r="664" spans="1:26" x14ac:dyDescent="0.4">
      <c r="A664" s="13"/>
      <c r="B664" s="11"/>
      <c r="C664" s="12"/>
      <c r="D664" s="46"/>
      <c r="E664" s="24"/>
      <c r="F664" s="24"/>
      <c r="G664" s="24"/>
      <c r="H664" s="14"/>
      <c r="I664" s="14"/>
      <c r="J664" s="14"/>
      <c r="K664" s="14"/>
      <c r="L664" s="14"/>
      <c r="M664" s="14"/>
      <c r="N664" s="13"/>
      <c r="O664" s="13"/>
      <c r="P664" s="13"/>
      <c r="Q664" s="13"/>
      <c r="R664" s="13"/>
      <c r="S664" s="13"/>
      <c r="T664" s="13"/>
      <c r="U664" s="13"/>
      <c r="V664" s="13"/>
      <c r="W664" s="13"/>
      <c r="X664" s="13"/>
      <c r="Z664" s="179"/>
    </row>
    <row r="665" spans="1:26" x14ac:dyDescent="0.4">
      <c r="A665" s="13"/>
      <c r="B665" s="11"/>
      <c r="C665" s="12">
        <v>2022</v>
      </c>
      <c r="D665" s="159">
        <f>SUM(E665:G665)</f>
        <v>9257377</v>
      </c>
      <c r="E665" s="24">
        <v>6272166</v>
      </c>
      <c r="F665" s="24">
        <v>2746601</v>
      </c>
      <c r="G665" s="26">
        <f t="shared" ref="G665:G667" si="406">Z665-F665-E665</f>
        <v>238610</v>
      </c>
      <c r="H665" s="14"/>
      <c r="I665" s="14"/>
      <c r="J665" s="14"/>
      <c r="K665" s="14"/>
      <c r="L665" s="14"/>
      <c r="M665" s="14"/>
      <c r="N665" s="13"/>
      <c r="O665" s="13"/>
      <c r="P665" s="13"/>
      <c r="Q665" s="13" t="str">
        <f>$A$656&amp;C665&amp;"ASSETS"</f>
        <v>PNM2022ASSETS</v>
      </c>
      <c r="R665" s="47">
        <f t="shared" ref="R665" si="407">IF(SUM(E665:F665)/D665&gt;1,1,SUM(E665:F665)/D665)</f>
        <v>0.97422488033057308</v>
      </c>
      <c r="S665" s="47">
        <f>SUM(E665:F665)/SUM(E665:F665)</f>
        <v>1</v>
      </c>
      <c r="T665" s="47">
        <v>0</v>
      </c>
      <c r="U665" s="25">
        <f t="shared" ref="U665:V667" si="408">IF(OR(ISBLANK($R665),ISBLANK(S665)),"NA",$R665*S665)</f>
        <v>0.97422488033057308</v>
      </c>
      <c r="V665" s="25">
        <f t="shared" si="408"/>
        <v>0</v>
      </c>
      <c r="W665" s="13"/>
      <c r="X665" s="13"/>
      <c r="Z665" s="137">
        <v>9257377</v>
      </c>
    </row>
    <row r="666" spans="1:26" x14ac:dyDescent="0.4">
      <c r="A666" s="13"/>
      <c r="B666" s="11" t="s">
        <v>110</v>
      </c>
      <c r="C666" s="12">
        <v>2021</v>
      </c>
      <c r="D666" s="23">
        <f t="shared" ref="D666" si="409">SUM(E666:M666)</f>
        <v>8666885</v>
      </c>
      <c r="E666" s="24">
        <v>6060133</v>
      </c>
      <c r="F666" s="24">
        <v>2364772</v>
      </c>
      <c r="G666" s="26">
        <f t="shared" si="406"/>
        <v>241980</v>
      </c>
      <c r="H666" s="14"/>
      <c r="I666" s="14"/>
      <c r="J666" s="14"/>
      <c r="K666" s="14"/>
      <c r="L666" s="14"/>
      <c r="M666" s="14"/>
      <c r="N666" s="13"/>
      <c r="O666" s="13"/>
      <c r="P666" s="13"/>
      <c r="Q666" s="13" t="str">
        <f>$A$656&amp;C666&amp;"ASSETS"</f>
        <v>PNM2021ASSETS</v>
      </c>
      <c r="R666" s="47">
        <f t="shared" ref="R666:R667" si="410">IF(SUM(E666:F666)/D666&gt;1,1,SUM(E666:F666)/D666)</f>
        <v>0.97207993414012073</v>
      </c>
      <c r="S666" s="47">
        <f>SUM(E666:F666)/SUM(E666:F666)</f>
        <v>1</v>
      </c>
      <c r="T666" s="47">
        <v>0</v>
      </c>
      <c r="U666" s="25">
        <f t="shared" si="408"/>
        <v>0.97207993414012073</v>
      </c>
      <c r="V666" s="25">
        <f t="shared" si="408"/>
        <v>0</v>
      </c>
      <c r="W666" s="25"/>
      <c r="X666" s="25"/>
      <c r="Z666" s="137">
        <v>8666885</v>
      </c>
    </row>
    <row r="667" spans="1:26" x14ac:dyDescent="0.4">
      <c r="A667" s="13"/>
      <c r="B667" s="137"/>
      <c r="C667" s="88">
        <v>2020</v>
      </c>
      <c r="D667" s="23">
        <f t="shared" ref="D667" si="411">SUM(E667:M667)</f>
        <v>7939854</v>
      </c>
      <c r="E667" s="24">
        <v>5581033</v>
      </c>
      <c r="F667" s="24">
        <v>2132580</v>
      </c>
      <c r="G667" s="26">
        <f t="shared" si="406"/>
        <v>226241</v>
      </c>
      <c r="H667" s="14"/>
      <c r="I667" s="14"/>
      <c r="J667" s="14"/>
      <c r="K667" s="14"/>
      <c r="L667" s="14"/>
      <c r="M667" s="14"/>
      <c r="N667" s="13"/>
      <c r="O667" s="13"/>
      <c r="P667" s="13"/>
      <c r="Q667" s="13" t="str">
        <f t="shared" ref="Q667" si="412">$A$656&amp;C667&amp;"ASSETS"</f>
        <v>PNM2020ASSETS</v>
      </c>
      <c r="R667" s="47">
        <f t="shared" si="410"/>
        <v>0.97150564733306177</v>
      </c>
      <c r="S667" s="47">
        <f>SUM(E667:F667)/SUM(E667:F667)</f>
        <v>1</v>
      </c>
      <c r="T667" s="47">
        <v>0</v>
      </c>
      <c r="U667" s="25">
        <f t="shared" si="408"/>
        <v>0.97150564733306177</v>
      </c>
      <c r="V667" s="25">
        <f t="shared" si="408"/>
        <v>0</v>
      </c>
      <c r="W667" s="25"/>
      <c r="X667" s="25"/>
      <c r="Z667" s="137">
        <v>7939854</v>
      </c>
    </row>
    <row r="668" spans="1:26" x14ac:dyDescent="0.4">
      <c r="Z668" s="179"/>
    </row>
    <row r="671" spans="1:26" x14ac:dyDescent="0.4">
      <c r="A671" s="10" t="s">
        <v>79</v>
      </c>
      <c r="B671" s="11"/>
      <c r="C671" s="12"/>
      <c r="D671" s="13"/>
      <c r="E671" s="24"/>
      <c r="F671" s="14"/>
      <c r="G671" s="14"/>
      <c r="H671" s="14"/>
      <c r="I671" s="14"/>
      <c r="J671" s="14"/>
      <c r="K671" s="14"/>
      <c r="L671" s="14"/>
      <c r="M671" s="14"/>
      <c r="N671" s="13"/>
      <c r="O671" s="13"/>
      <c r="P671" s="13"/>
      <c r="Q671" s="13"/>
      <c r="R671" s="13"/>
      <c r="S671" s="13"/>
      <c r="T671" s="13"/>
      <c r="U671" s="13"/>
      <c r="V671" s="13"/>
      <c r="W671" s="13"/>
      <c r="X671" s="13"/>
    </row>
    <row r="672" spans="1:26" x14ac:dyDescent="0.4">
      <c r="A672" s="13" t="s">
        <v>476</v>
      </c>
      <c r="B672" s="11"/>
      <c r="C672" s="12"/>
      <c r="D672" s="13"/>
      <c r="E672" s="24"/>
      <c r="F672" s="14"/>
      <c r="G672" s="14"/>
      <c r="H672" s="14"/>
      <c r="I672" s="14"/>
      <c r="J672" s="14"/>
      <c r="K672" s="14"/>
      <c r="L672" s="14"/>
      <c r="M672" s="14"/>
      <c r="N672" s="13"/>
      <c r="O672" s="13"/>
      <c r="P672" s="13"/>
      <c r="Q672" s="13"/>
      <c r="R672" s="13"/>
      <c r="S672" s="13"/>
      <c r="T672" s="13"/>
      <c r="U672" s="13"/>
      <c r="V672" s="13"/>
      <c r="W672" s="13"/>
      <c r="X672" s="13"/>
    </row>
    <row r="673" spans="1:24" ht="36.9" x14ac:dyDescent="0.4">
      <c r="A673" s="221" t="s">
        <v>80</v>
      </c>
      <c r="B673" s="11" t="s">
        <v>187</v>
      </c>
      <c r="C673" s="12"/>
      <c r="D673" s="12" t="s">
        <v>96</v>
      </c>
      <c r="E673" s="26" t="s">
        <v>79</v>
      </c>
      <c r="F673" s="14"/>
      <c r="G673" s="14"/>
      <c r="H673" s="14"/>
      <c r="I673" s="14"/>
      <c r="J673" s="14"/>
      <c r="K673" s="14"/>
      <c r="L673" s="14"/>
      <c r="M673" s="14"/>
      <c r="N673" s="13"/>
      <c r="O673" s="13"/>
      <c r="P673" s="13"/>
      <c r="Q673" s="20"/>
      <c r="R673" s="21" t="s">
        <v>102</v>
      </c>
      <c r="S673" s="21" t="s">
        <v>103</v>
      </c>
      <c r="T673" s="21" t="s">
        <v>104</v>
      </c>
      <c r="U673" s="21" t="s">
        <v>105</v>
      </c>
      <c r="V673" s="21" t="s">
        <v>106</v>
      </c>
      <c r="W673" s="22"/>
      <c r="X673" s="22"/>
    </row>
    <row r="674" spans="1:24" ht="14.4" x14ac:dyDescent="0.55000000000000004">
      <c r="A674" s="10"/>
      <c r="B674" s="11"/>
      <c r="C674" s="12">
        <v>2022</v>
      </c>
      <c r="D674" s="146">
        <f>SUM(E674:M674)</f>
        <v>2647000</v>
      </c>
      <c r="E674" s="26">
        <v>2647000</v>
      </c>
      <c r="F674" s="14"/>
      <c r="G674" s="14"/>
      <c r="H674" s="14"/>
      <c r="I674" s="14"/>
      <c r="J674" s="14"/>
      <c r="K674" s="14"/>
      <c r="L674" s="14"/>
      <c r="M674" s="14"/>
      <c r="N674" s="13"/>
      <c r="O674" s="13"/>
      <c r="P674" s="13"/>
      <c r="Q674" s="149" t="str">
        <f>$A$673&amp;C674&amp;"REV"</f>
        <v>POR2022REV</v>
      </c>
      <c r="R674" s="47">
        <f>IF(E674/D674&gt;1,1,E674/D674)</f>
        <v>1</v>
      </c>
      <c r="S674" s="47">
        <f>E674/E674</f>
        <v>1</v>
      </c>
      <c r="T674" s="47">
        <v>0</v>
      </c>
      <c r="U674" s="128">
        <f t="shared" ref="U674:V676" si="413">IF(OR(ISBLANK($R674),ISBLANK(S674)),"NA",$R674*S674)</f>
        <v>1</v>
      </c>
      <c r="V674" s="128">
        <f t="shared" si="413"/>
        <v>0</v>
      </c>
      <c r="W674" s="22"/>
      <c r="X674" s="22"/>
    </row>
    <row r="675" spans="1:24" ht="14.4" x14ac:dyDescent="0.55000000000000004">
      <c r="A675" s="13"/>
      <c r="B675" s="11" t="s">
        <v>107</v>
      </c>
      <c r="C675" s="12">
        <v>2021</v>
      </c>
      <c r="D675" s="146">
        <f>SUM(E675:M675)</f>
        <v>2396000</v>
      </c>
      <c r="E675" s="26">
        <v>2396000</v>
      </c>
      <c r="F675" s="14"/>
      <c r="G675" s="14"/>
      <c r="H675" s="14"/>
      <c r="I675" s="14"/>
      <c r="J675" s="14"/>
      <c r="K675" s="14"/>
      <c r="L675" s="14"/>
      <c r="M675" s="14"/>
      <c r="N675" s="13"/>
      <c r="O675" s="13"/>
      <c r="P675" s="13"/>
      <c r="Q675" s="13" t="str">
        <f>$A$673&amp;C675&amp;"REV"</f>
        <v>POR2021REV</v>
      </c>
      <c r="R675" s="47">
        <f>IF(E675/D675&gt;1,1,E675/D675)</f>
        <v>1</v>
      </c>
      <c r="S675" s="47">
        <f>E675/E675</f>
        <v>1</v>
      </c>
      <c r="T675" s="47">
        <v>0</v>
      </c>
      <c r="U675" s="25">
        <f t="shared" si="413"/>
        <v>1</v>
      </c>
      <c r="V675" s="25">
        <f t="shared" si="413"/>
        <v>0</v>
      </c>
      <c r="W675" s="25"/>
      <c r="X675" s="25"/>
    </row>
    <row r="676" spans="1:24" x14ac:dyDescent="0.4">
      <c r="A676" s="13"/>
      <c r="B676" s="137"/>
      <c r="C676" s="88">
        <v>2020</v>
      </c>
      <c r="D676" s="23">
        <f>SUM(E676:M676)</f>
        <v>2145000</v>
      </c>
      <c r="E676" s="26">
        <v>2145000</v>
      </c>
      <c r="F676" s="14"/>
      <c r="G676" s="14"/>
      <c r="H676" s="14"/>
      <c r="I676" s="14"/>
      <c r="J676" s="14"/>
      <c r="K676" s="14"/>
      <c r="L676" s="14"/>
      <c r="M676" s="14"/>
      <c r="N676" s="13"/>
      <c r="O676" s="13"/>
      <c r="P676" s="13"/>
      <c r="Q676" s="13" t="str">
        <f t="shared" ref="Q676" si="414">$A$673&amp;C676&amp;"REV"</f>
        <v>POR2020REV</v>
      </c>
      <c r="R676" s="47">
        <f t="shared" ref="R676" si="415">IF(E676/D676&gt;1,1,E676/D676)</f>
        <v>1</v>
      </c>
      <c r="S676" s="47">
        <f>E676/E676</f>
        <v>1</v>
      </c>
      <c r="T676" s="47">
        <v>0</v>
      </c>
      <c r="U676" s="25">
        <f t="shared" si="413"/>
        <v>1</v>
      </c>
      <c r="V676" s="25">
        <f t="shared" si="413"/>
        <v>0</v>
      </c>
      <c r="W676" s="25"/>
      <c r="X676" s="25"/>
    </row>
    <row r="677" spans="1:24" x14ac:dyDescent="0.4">
      <c r="A677" s="13"/>
      <c r="B677" s="11"/>
      <c r="C677" s="12"/>
      <c r="D677" s="13"/>
      <c r="E677" s="24"/>
      <c r="F677" s="14"/>
      <c r="G677" s="14"/>
      <c r="H677" s="14"/>
      <c r="I677" s="14"/>
      <c r="J677" s="14"/>
      <c r="K677" s="14"/>
      <c r="L677" s="14"/>
      <c r="M677" s="14"/>
      <c r="N677" s="13"/>
      <c r="O677" s="13"/>
      <c r="P677" s="13"/>
      <c r="Q677" s="13"/>
      <c r="R677" s="13"/>
      <c r="S677" s="13"/>
      <c r="T677" s="13"/>
      <c r="U677" s="13"/>
      <c r="V677" s="13"/>
      <c r="W677" s="13"/>
      <c r="X677" s="13"/>
    </row>
    <row r="678" spans="1:24" ht="14.4" x14ac:dyDescent="0.55000000000000004">
      <c r="A678" s="13"/>
      <c r="B678" s="11"/>
      <c r="C678" s="12">
        <v>2022</v>
      </c>
      <c r="D678" s="146">
        <f>SUM(E678:M678)</f>
        <v>397000</v>
      </c>
      <c r="E678" s="24">
        <v>397000</v>
      </c>
      <c r="F678" s="14"/>
      <c r="G678" s="14"/>
      <c r="H678" s="14"/>
      <c r="I678" s="14"/>
      <c r="J678" s="14"/>
      <c r="K678" s="14"/>
      <c r="L678" s="14"/>
      <c r="M678" s="14"/>
      <c r="N678" s="13"/>
      <c r="O678" s="13"/>
      <c r="P678" s="13"/>
      <c r="Q678" s="13" t="str">
        <f>$A$673&amp;C678&amp;"INC"</f>
        <v>POR2022INC</v>
      </c>
      <c r="R678" s="47">
        <f>IF(E678/D678&gt;1,1,E678/D678)</f>
        <v>1</v>
      </c>
      <c r="S678" s="47">
        <f>E678/E678</f>
        <v>1</v>
      </c>
      <c r="T678" s="47">
        <v>0</v>
      </c>
      <c r="U678" s="128">
        <f t="shared" ref="U678:V680" si="416">IF(OR(ISBLANK($R678),ISBLANK(S678)),"NA",$R678*S678)</f>
        <v>1</v>
      </c>
      <c r="V678" s="128">
        <f t="shared" si="416"/>
        <v>0</v>
      </c>
      <c r="W678" s="13"/>
      <c r="X678" s="13"/>
    </row>
    <row r="679" spans="1:24" ht="14.4" x14ac:dyDescent="0.55000000000000004">
      <c r="A679" s="13"/>
      <c r="B679" s="11" t="s">
        <v>109</v>
      </c>
      <c r="C679" s="12">
        <v>2021</v>
      </c>
      <c r="D679" s="146">
        <f>SUM(E679:M679)</f>
        <v>378000</v>
      </c>
      <c r="E679" s="24">
        <v>378000</v>
      </c>
      <c r="F679" s="14"/>
      <c r="G679" s="14"/>
      <c r="H679" s="14"/>
      <c r="I679" s="14"/>
      <c r="J679" s="14"/>
      <c r="K679" s="14"/>
      <c r="L679" s="14"/>
      <c r="M679" s="14"/>
      <c r="N679" s="13"/>
      <c r="O679" s="13"/>
      <c r="P679" s="13"/>
      <c r="Q679" s="13" t="str">
        <f>$A$673&amp;C679&amp;"INC"</f>
        <v>POR2021INC</v>
      </c>
      <c r="R679" s="47">
        <f t="shared" ref="R679:R680" si="417">IF(E679/D679&gt;1,1,E679/D679)</f>
        <v>1</v>
      </c>
      <c r="S679" s="47">
        <f>E679/E679</f>
        <v>1</v>
      </c>
      <c r="T679" s="47">
        <v>0</v>
      </c>
      <c r="U679" s="25">
        <f t="shared" si="416"/>
        <v>1</v>
      </c>
      <c r="V679" s="25">
        <f t="shared" si="416"/>
        <v>0</v>
      </c>
      <c r="W679" s="25"/>
      <c r="X679" s="25"/>
    </row>
    <row r="680" spans="1:24" x14ac:dyDescent="0.4">
      <c r="A680" s="13"/>
      <c r="B680" s="137"/>
      <c r="C680" s="88">
        <v>2020</v>
      </c>
      <c r="D680" s="23">
        <f t="shared" ref="D680" si="418">SUM(E680:M680)</f>
        <v>269000</v>
      </c>
      <c r="E680" s="26">
        <v>269000</v>
      </c>
      <c r="F680" s="14"/>
      <c r="G680" s="14"/>
      <c r="H680" s="14"/>
      <c r="I680" s="14"/>
      <c r="J680" s="14"/>
      <c r="K680" s="14"/>
      <c r="L680" s="14"/>
      <c r="M680" s="14"/>
      <c r="N680" s="13"/>
      <c r="O680" s="13"/>
      <c r="P680" s="13"/>
      <c r="Q680" s="13" t="str">
        <f t="shared" ref="Q680" si="419">$A$673&amp;C680&amp;"INC"</f>
        <v>POR2020INC</v>
      </c>
      <c r="R680" s="47">
        <f t="shared" si="417"/>
        <v>1</v>
      </c>
      <c r="S680" s="47">
        <f>E680/E680</f>
        <v>1</v>
      </c>
      <c r="T680" s="47">
        <v>0</v>
      </c>
      <c r="U680" s="25">
        <f t="shared" si="416"/>
        <v>1</v>
      </c>
      <c r="V680" s="25">
        <f t="shared" si="416"/>
        <v>0</v>
      </c>
      <c r="W680" s="25"/>
      <c r="X680" s="25"/>
    </row>
    <row r="681" spans="1:24" x14ac:dyDescent="0.4">
      <c r="A681" s="13"/>
      <c r="B681" s="11"/>
      <c r="C681" s="12"/>
      <c r="D681" s="46"/>
      <c r="E681" s="24"/>
      <c r="F681" s="14"/>
      <c r="G681" s="14"/>
      <c r="H681" s="14"/>
      <c r="I681" s="14"/>
      <c r="J681" s="14"/>
      <c r="K681" s="14"/>
      <c r="L681" s="14"/>
      <c r="M681" s="14"/>
      <c r="N681" s="13"/>
      <c r="O681" s="13"/>
      <c r="P681" s="13"/>
      <c r="Q681" s="13"/>
      <c r="R681" s="13"/>
      <c r="S681" s="13"/>
      <c r="T681" s="13"/>
      <c r="U681" s="13"/>
      <c r="V681" s="13"/>
      <c r="W681" s="13"/>
      <c r="X681" s="13"/>
    </row>
    <row r="682" spans="1:24" ht="14.4" x14ac:dyDescent="0.55000000000000004">
      <c r="A682" s="13"/>
      <c r="B682" s="11"/>
      <c r="C682" s="12">
        <v>2022</v>
      </c>
      <c r="D682" s="146">
        <f>SUM(E682:M682)</f>
        <v>10459000</v>
      </c>
      <c r="E682" s="24">
        <v>10459000</v>
      </c>
      <c r="F682" s="14"/>
      <c r="G682" s="14"/>
      <c r="H682" s="14"/>
      <c r="I682" s="14"/>
      <c r="J682" s="14"/>
      <c r="K682" s="14"/>
      <c r="L682" s="14"/>
      <c r="M682" s="14"/>
      <c r="N682" s="13"/>
      <c r="O682" s="13"/>
      <c r="P682" s="13"/>
      <c r="Q682" s="13" t="str">
        <f>$A$673&amp;C682&amp;"ASSETS"</f>
        <v>POR2022ASSETS</v>
      </c>
      <c r="R682" s="47">
        <f>IF(E682/D682&gt;1,1,E682/D682)</f>
        <v>1</v>
      </c>
      <c r="S682" s="47">
        <f>E682/E682</f>
        <v>1</v>
      </c>
      <c r="T682" s="47">
        <v>0</v>
      </c>
      <c r="U682" s="128">
        <f t="shared" ref="U682:V684" si="420">IF(OR(ISBLANK($R682),ISBLANK(S682)),"NA",$R682*S682)</f>
        <v>1</v>
      </c>
      <c r="V682" s="128">
        <f t="shared" si="420"/>
        <v>0</v>
      </c>
      <c r="W682" s="13"/>
      <c r="X682" s="13"/>
    </row>
    <row r="683" spans="1:24" ht="14.4" x14ac:dyDescent="0.55000000000000004">
      <c r="A683" s="13"/>
      <c r="B683" s="11" t="s">
        <v>110</v>
      </c>
      <c r="C683" s="12">
        <v>2021</v>
      </c>
      <c r="D683" s="146">
        <f>SUM(E683:M683)</f>
        <v>9494000</v>
      </c>
      <c r="E683" s="24">
        <v>9494000</v>
      </c>
      <c r="F683" s="14"/>
      <c r="G683" s="14"/>
      <c r="H683" s="14"/>
      <c r="I683" s="14"/>
      <c r="J683" s="14"/>
      <c r="K683" s="14"/>
      <c r="L683" s="14"/>
      <c r="M683" s="14"/>
      <c r="N683" s="13"/>
      <c r="O683" s="13"/>
      <c r="P683" s="13"/>
      <c r="Q683" s="13" t="str">
        <f>$A$673&amp;C683&amp;"ASSETS"</f>
        <v>POR2021ASSETS</v>
      </c>
      <c r="R683" s="47">
        <f t="shared" ref="R683:R684" si="421">IF(E683/D683&gt;1,1,E683/D683)</f>
        <v>1</v>
      </c>
      <c r="S683" s="47">
        <f>E683/E683</f>
        <v>1</v>
      </c>
      <c r="T683" s="47">
        <v>0</v>
      </c>
      <c r="U683" s="25">
        <f t="shared" si="420"/>
        <v>1</v>
      </c>
      <c r="V683" s="25">
        <f t="shared" si="420"/>
        <v>0</v>
      </c>
      <c r="W683" s="25"/>
      <c r="X683" s="25"/>
    </row>
    <row r="684" spans="1:24" x14ac:dyDescent="0.4">
      <c r="A684" s="13"/>
      <c r="B684" s="137"/>
      <c r="C684" s="88">
        <v>2020</v>
      </c>
      <c r="D684" s="23">
        <f t="shared" ref="D684" si="422">SUM(E684:M684)</f>
        <v>9069000</v>
      </c>
      <c r="E684" s="26">
        <v>9069000</v>
      </c>
      <c r="F684" s="14"/>
      <c r="G684" s="14"/>
      <c r="H684" s="14"/>
      <c r="I684" s="14"/>
      <c r="J684" s="14"/>
      <c r="K684" s="14"/>
      <c r="L684" s="14"/>
      <c r="M684" s="14"/>
      <c r="N684" s="13"/>
      <c r="O684" s="13"/>
      <c r="P684" s="13"/>
      <c r="Q684" s="13" t="str">
        <f t="shared" ref="Q684" si="423">$A$673&amp;C684&amp;"ASSETS"</f>
        <v>POR2020ASSETS</v>
      </c>
      <c r="R684" s="47">
        <f t="shared" si="421"/>
        <v>1</v>
      </c>
      <c r="S684" s="47">
        <f>E684/E684</f>
        <v>1</v>
      </c>
      <c r="T684" s="47">
        <v>0</v>
      </c>
      <c r="U684" s="25">
        <f t="shared" si="420"/>
        <v>1</v>
      </c>
      <c r="V684" s="25">
        <f t="shared" si="420"/>
        <v>0</v>
      </c>
      <c r="W684" s="25"/>
      <c r="X684" s="25"/>
    </row>
    <row r="688" spans="1:24" x14ac:dyDescent="0.4">
      <c r="A688" s="10" t="s">
        <v>81</v>
      </c>
      <c r="B688" s="11"/>
      <c r="C688" s="15"/>
      <c r="D688" s="13"/>
      <c r="E688" s="24"/>
      <c r="F688" s="24"/>
      <c r="G688" s="24"/>
      <c r="H688" s="24"/>
      <c r="I688" s="24"/>
      <c r="J688" s="14"/>
      <c r="K688" s="14"/>
      <c r="L688" s="14"/>
      <c r="M688" s="14"/>
      <c r="N688" s="13"/>
      <c r="O688" s="13"/>
      <c r="P688" s="13"/>
      <c r="Q688" s="13"/>
      <c r="R688" s="13"/>
    </row>
    <row r="689" spans="1:25" x14ac:dyDescent="0.4">
      <c r="A689" s="13" t="s">
        <v>477</v>
      </c>
      <c r="B689" s="24"/>
      <c r="C689" s="40"/>
      <c r="D689" s="13"/>
      <c r="E689" s="24"/>
      <c r="F689" s="24"/>
      <c r="G689" s="24"/>
      <c r="H689" s="24"/>
      <c r="I689" s="24"/>
      <c r="J689" s="14"/>
      <c r="K689" s="14"/>
      <c r="L689" s="14"/>
      <c r="M689" s="14"/>
      <c r="N689" s="13"/>
      <c r="O689" s="13"/>
      <c r="P689" s="13"/>
      <c r="Q689" s="13"/>
      <c r="R689" s="13"/>
    </row>
    <row r="690" spans="1:25" ht="36.9" x14ac:dyDescent="0.4">
      <c r="A690" s="10" t="s">
        <v>82</v>
      </c>
      <c r="B690" s="15" t="s">
        <v>187</v>
      </c>
      <c r="C690" s="12"/>
      <c r="D690" s="12" t="s">
        <v>96</v>
      </c>
      <c r="E690" s="27" t="s">
        <v>216</v>
      </c>
      <c r="F690" s="27" t="s">
        <v>217</v>
      </c>
      <c r="G690" s="27" t="s">
        <v>218</v>
      </c>
      <c r="H690" s="27" t="s">
        <v>478</v>
      </c>
      <c r="I690" s="27" t="s">
        <v>100</v>
      </c>
      <c r="J690" s="27" t="s">
        <v>140</v>
      </c>
      <c r="K690" s="38"/>
      <c r="L690" s="14"/>
      <c r="M690" s="14"/>
      <c r="N690" s="14"/>
      <c r="O690" s="13"/>
      <c r="P690" s="13"/>
      <c r="Q690" s="20"/>
      <c r="R690" s="21" t="s">
        <v>102</v>
      </c>
      <c r="S690" s="176" t="s">
        <v>103</v>
      </c>
      <c r="T690" s="176" t="s">
        <v>104</v>
      </c>
      <c r="U690" s="176" t="s">
        <v>105</v>
      </c>
      <c r="V690" s="176" t="s">
        <v>106</v>
      </c>
      <c r="X690" s="177"/>
      <c r="Y690" s="177"/>
    </row>
    <row r="691" spans="1:25" ht="14.4" x14ac:dyDescent="0.55000000000000004">
      <c r="A691" s="10"/>
      <c r="C691" s="12">
        <v>2022</v>
      </c>
      <c r="D691" s="146">
        <f>SUM(E691:J691)</f>
        <v>7902000</v>
      </c>
      <c r="E691" s="27">
        <v>0</v>
      </c>
      <c r="F691" s="27">
        <v>3811000</v>
      </c>
      <c r="G691" s="27">
        <v>3030000</v>
      </c>
      <c r="H691" s="27">
        <v>1038000</v>
      </c>
      <c r="I691" s="27">
        <v>23000</v>
      </c>
      <c r="J691" s="27">
        <v>0</v>
      </c>
      <c r="K691" s="38"/>
      <c r="L691" s="14"/>
      <c r="M691" s="14"/>
      <c r="N691" s="14"/>
      <c r="O691" s="13"/>
      <c r="P691" s="13"/>
      <c r="Q691" s="149" t="str">
        <f>$A$690&amp;C691&amp;"REV"</f>
        <v>PPL2022REV</v>
      </c>
      <c r="R691" s="47">
        <f>IF(SUM(F691:H691)/D691&gt;1,1,SUM(F691:H691)/D691)</f>
        <v>0.9970893444697545</v>
      </c>
      <c r="S691" s="131">
        <v>0.93132198792321208</v>
      </c>
      <c r="T691" s="131">
        <v>6.8678012076787878E-2</v>
      </c>
      <c r="U691" s="178">
        <f>IF(OR(ISBLANK($R691),ISBLANK(S691)),"NA",$R691*S691)</f>
        <v>0.92861123042862415</v>
      </c>
      <c r="V691" s="178">
        <f>IF(OR(ISBLANK($R691),ISBLANK(T691)),"NA",$R691*T691)</f>
        <v>6.8478114041130314E-2</v>
      </c>
      <c r="X691" s="177"/>
      <c r="Y691" s="177"/>
    </row>
    <row r="692" spans="1:25" ht="14.4" x14ac:dyDescent="0.55000000000000004">
      <c r="A692" s="13"/>
      <c r="B692" s="13" t="s">
        <v>107</v>
      </c>
      <c r="C692" s="12">
        <v>2021</v>
      </c>
      <c r="D692" s="146">
        <f>SUM(E692:J692)</f>
        <v>5783000</v>
      </c>
      <c r="E692" s="27">
        <v>0</v>
      </c>
      <c r="F692" s="27">
        <v>3348000</v>
      </c>
      <c r="G692" s="27">
        <v>2402000</v>
      </c>
      <c r="H692" s="27">
        <v>0</v>
      </c>
      <c r="I692" s="27">
        <v>33000</v>
      </c>
      <c r="J692" s="27">
        <v>0</v>
      </c>
      <c r="K692" s="38"/>
      <c r="L692" s="14"/>
      <c r="M692" s="14"/>
      <c r="N692" s="14"/>
      <c r="O692" s="13"/>
      <c r="P692" s="13"/>
      <c r="Q692" s="13" t="str">
        <f>$A$690&amp;C692&amp;"REV"</f>
        <v>PPL2021REV</v>
      </c>
      <c r="R692" s="47"/>
      <c r="S692" s="131"/>
      <c r="T692" s="131"/>
      <c r="U692" s="178"/>
      <c r="V692" s="178"/>
      <c r="X692" s="178"/>
      <c r="Y692" s="178"/>
    </row>
    <row r="693" spans="1:25" ht="12.6" x14ac:dyDescent="0.45">
      <c r="A693" s="13"/>
      <c r="B693" s="13"/>
      <c r="C693" s="88">
        <v>2020</v>
      </c>
      <c r="D693" s="23">
        <f>SUM(E693:J693)</f>
        <v>5474000</v>
      </c>
      <c r="E693" s="27">
        <v>0</v>
      </c>
      <c r="F693" s="30">
        <v>3106000</v>
      </c>
      <c r="G693" s="30">
        <v>2330000</v>
      </c>
      <c r="H693" s="27">
        <v>0</v>
      </c>
      <c r="I693" s="30">
        <v>38000</v>
      </c>
      <c r="J693" s="27">
        <v>0</v>
      </c>
      <c r="K693" s="38"/>
      <c r="L693" s="14"/>
      <c r="M693" s="14"/>
      <c r="N693" s="14"/>
      <c r="O693" s="13"/>
      <c r="P693" s="13"/>
      <c r="Q693" s="13" t="str">
        <f>$A$690&amp;C693&amp;"REV"</f>
        <v>PPL2020REV</v>
      </c>
      <c r="R693" s="47"/>
      <c r="S693" s="131"/>
      <c r="T693" s="131"/>
      <c r="U693" s="178"/>
      <c r="V693" s="178"/>
      <c r="X693" s="178"/>
      <c r="Y693" s="178"/>
    </row>
    <row r="694" spans="1:25" x14ac:dyDescent="0.4">
      <c r="A694" s="13"/>
      <c r="B694" s="11"/>
      <c r="C694" s="12"/>
      <c r="D694" s="13"/>
      <c r="E694" s="29"/>
      <c r="F694" s="29"/>
      <c r="G694" s="29"/>
      <c r="H694" s="29"/>
      <c r="I694" s="29"/>
      <c r="J694" s="29"/>
      <c r="K694" s="38"/>
      <c r="L694" s="14"/>
      <c r="M694" s="14"/>
      <c r="N694" s="14"/>
      <c r="O694" s="13"/>
      <c r="P694" s="13"/>
      <c r="Q694" s="13"/>
      <c r="R694" s="13"/>
    </row>
    <row r="695" spans="1:25" ht="12.75" customHeight="1" x14ac:dyDescent="0.55000000000000004">
      <c r="A695" s="13"/>
      <c r="C695" s="12">
        <v>2022</v>
      </c>
      <c r="D695" s="45">
        <f>SUM(E695:J695)</f>
        <v>1374000</v>
      </c>
      <c r="E695" s="27">
        <v>0</v>
      </c>
      <c r="F695" s="29">
        <v>2460000</v>
      </c>
      <c r="G695" s="154">
        <v>1701000</v>
      </c>
      <c r="H695" s="154">
        <v>441000</v>
      </c>
      <c r="I695" s="29">
        <v>-3228000</v>
      </c>
      <c r="J695" s="27">
        <v>0</v>
      </c>
      <c r="K695" s="38"/>
      <c r="L695" s="14"/>
      <c r="M695" s="14"/>
      <c r="N695" s="14"/>
      <c r="O695" s="13"/>
      <c r="P695" s="13"/>
      <c r="Q695" s="13" t="str">
        <f>$A$690&amp;C695&amp;"INC"</f>
        <v>PPL2022INC</v>
      </c>
      <c r="R695" s="47">
        <f>IF(SUM(F695:H695)/D695&gt;1,1,SUM(F695:H695)/D695)</f>
        <v>1</v>
      </c>
      <c r="S695" s="131">
        <v>0.94021523181560485</v>
      </c>
      <c r="T695" s="131">
        <v>5.9784768184395112E-2</v>
      </c>
      <c r="U695" s="178">
        <f>IF(OR(ISBLANK($R695),ISBLANK(S695)),"NA",$R695*S695)</f>
        <v>0.94021523181560485</v>
      </c>
      <c r="V695" s="178">
        <f>IF(OR(ISBLANK($R695),ISBLANK(T695)),"NA",$R695*T695)</f>
        <v>5.9784768184395112E-2</v>
      </c>
    </row>
    <row r="696" spans="1:25" ht="14.4" x14ac:dyDescent="0.55000000000000004">
      <c r="A696" s="13"/>
      <c r="B696" s="11" t="s">
        <v>109</v>
      </c>
      <c r="C696" s="12">
        <v>2021</v>
      </c>
      <c r="D696" s="45">
        <f>SUM(E696:J696)</f>
        <v>1424000</v>
      </c>
      <c r="E696" s="27">
        <v>0</v>
      </c>
      <c r="F696" s="29">
        <v>2255000</v>
      </c>
      <c r="G696" s="154">
        <v>1589000</v>
      </c>
      <c r="H696" s="154">
        <v>0</v>
      </c>
      <c r="I696" s="29">
        <v>-2420000</v>
      </c>
      <c r="J696" s="27">
        <v>0</v>
      </c>
      <c r="K696" s="38"/>
      <c r="L696" s="14"/>
      <c r="M696" s="229"/>
      <c r="N696" s="14"/>
      <c r="O696" s="13"/>
      <c r="P696" s="13"/>
      <c r="Q696" s="13" t="str">
        <f>$A$690&amp;C696&amp;"INC"</f>
        <v>PPL2021INC</v>
      </c>
      <c r="R696" s="47"/>
      <c r="S696" s="131"/>
      <c r="T696" s="131"/>
      <c r="U696" s="178"/>
      <c r="V696" s="178"/>
      <c r="X696" s="178"/>
      <c r="Y696" s="178"/>
    </row>
    <row r="697" spans="1:25" ht="12.6" x14ac:dyDescent="0.45">
      <c r="A697" s="13"/>
      <c r="B697" s="42"/>
      <c r="C697" s="88">
        <v>2020</v>
      </c>
      <c r="D697" s="23">
        <f>SUM(E697:N697)</f>
        <v>849000</v>
      </c>
      <c r="E697" s="27">
        <v>0</v>
      </c>
      <c r="F697" s="30">
        <v>2081000</v>
      </c>
      <c r="G697" s="30">
        <v>1589000</v>
      </c>
      <c r="H697" s="30">
        <v>0</v>
      </c>
      <c r="I697" s="30">
        <v>-2821000</v>
      </c>
      <c r="J697" s="27">
        <v>0</v>
      </c>
      <c r="K697" s="38"/>
      <c r="L697" s="14"/>
      <c r="M697" s="229"/>
      <c r="N697" s="14"/>
      <c r="O697" s="13"/>
      <c r="P697" s="13"/>
      <c r="Q697" s="13" t="str">
        <f>$A$690&amp;C697&amp;"INC"</f>
        <v>PPL2020INC</v>
      </c>
      <c r="R697" s="47"/>
      <c r="S697" s="131"/>
      <c r="T697" s="131"/>
      <c r="U697" s="178"/>
      <c r="V697" s="178"/>
      <c r="X697" s="178"/>
      <c r="Y697" s="178"/>
    </row>
    <row r="698" spans="1:25" x14ac:dyDescent="0.4">
      <c r="A698" s="13"/>
      <c r="B698" s="11"/>
      <c r="C698" s="12"/>
      <c r="D698" s="46"/>
      <c r="E698" s="29"/>
      <c r="F698" s="29"/>
      <c r="G698" s="29"/>
      <c r="H698" s="29"/>
      <c r="I698" s="29"/>
      <c r="J698" s="29"/>
      <c r="K698" s="38"/>
      <c r="L698" s="14"/>
      <c r="M698" s="14"/>
      <c r="N698" s="14"/>
      <c r="O698" s="13"/>
      <c r="P698" s="13"/>
      <c r="Q698" s="13"/>
      <c r="R698" s="13"/>
    </row>
    <row r="699" spans="1:25" ht="12.6" x14ac:dyDescent="0.45">
      <c r="A699" s="13"/>
      <c r="C699" s="12">
        <v>2022</v>
      </c>
      <c r="D699" s="45">
        <f>SUM(E699:J699)</f>
        <v>37837000</v>
      </c>
      <c r="E699" s="27">
        <v>0</v>
      </c>
      <c r="F699" s="29">
        <v>16904000</v>
      </c>
      <c r="G699" s="29">
        <v>13565000</v>
      </c>
      <c r="H699" s="29">
        <v>6081000</v>
      </c>
      <c r="I699" s="29">
        <v>1287000</v>
      </c>
      <c r="J699" s="27">
        <v>0</v>
      </c>
      <c r="K699" s="38"/>
      <c r="L699" s="14"/>
      <c r="M699" s="14"/>
      <c r="N699" s="14"/>
      <c r="O699" s="13"/>
      <c r="P699" s="13"/>
      <c r="Q699" s="13" t="str">
        <f>$A$690&amp;C699&amp;"ASSETS"</f>
        <v>PPL2022ASSETS</v>
      </c>
      <c r="R699" s="47">
        <f>IF(SUM(F699:H699)/D699&gt;1,1,SUM(F699:H699)/D699)</f>
        <v>0.96598567539709812</v>
      </c>
      <c r="S699" s="131">
        <v>0.9494424267386159</v>
      </c>
      <c r="T699" s="131">
        <v>5.0557573261384062E-2</v>
      </c>
      <c r="U699" s="178">
        <f>IF(OR(ISBLANK($R699),ISBLANK(S699)),"NA",$R699*S699)</f>
        <v>0.91714778384376172</v>
      </c>
      <c r="V699" s="178">
        <f>IF(OR(ISBLANK($R699),ISBLANK(T699)),"NA",$R699*T699)</f>
        <v>4.883789155333635E-2</v>
      </c>
    </row>
    <row r="700" spans="1:25" ht="12.6" x14ac:dyDescent="0.45">
      <c r="A700" s="13"/>
      <c r="B700" s="42" t="s">
        <v>110</v>
      </c>
      <c r="C700" s="12">
        <v>2021</v>
      </c>
      <c r="D700" s="45">
        <f>SUM(E700:J700)</f>
        <v>33223000</v>
      </c>
      <c r="E700" s="27">
        <v>0</v>
      </c>
      <c r="F700" s="29">
        <v>16360000</v>
      </c>
      <c r="G700" s="29">
        <v>13336000</v>
      </c>
      <c r="H700" s="29">
        <v>0</v>
      </c>
      <c r="I700" s="29">
        <v>3527000</v>
      </c>
      <c r="J700" s="27">
        <v>0</v>
      </c>
      <c r="K700" s="38"/>
      <c r="L700" s="14"/>
      <c r="M700" s="14"/>
      <c r="N700" s="14"/>
      <c r="O700" s="13"/>
      <c r="P700" s="13"/>
      <c r="Q700" s="13" t="str">
        <f>$A$690&amp;C700&amp;"ASSETS"</f>
        <v>PPL2021ASSETS</v>
      </c>
      <c r="R700" s="47"/>
      <c r="S700" s="131"/>
      <c r="T700" s="131"/>
      <c r="U700" s="178"/>
      <c r="V700" s="178"/>
      <c r="X700" s="178"/>
      <c r="Y700" s="178"/>
    </row>
    <row r="701" spans="1:25" ht="12.6" x14ac:dyDescent="0.45">
      <c r="A701" s="13"/>
      <c r="B701" s="42"/>
      <c r="C701" s="88">
        <v>2020</v>
      </c>
      <c r="D701" s="23">
        <f>SUM(E701:N701)</f>
        <v>29133000</v>
      </c>
      <c r="E701" s="27">
        <v>0</v>
      </c>
      <c r="F701" s="29">
        <v>15943000</v>
      </c>
      <c r="G701" s="29">
        <v>12347000</v>
      </c>
      <c r="H701" s="29">
        <v>0</v>
      </c>
      <c r="I701" s="29">
        <v>843000</v>
      </c>
      <c r="J701" s="27">
        <v>0</v>
      </c>
      <c r="K701" s="38"/>
      <c r="L701" s="14"/>
      <c r="M701" s="14"/>
      <c r="N701" s="14"/>
      <c r="O701" s="13"/>
      <c r="P701" s="13"/>
      <c r="Q701" s="13" t="str">
        <f>$A$690&amp;C701&amp;"ASSETS"</f>
        <v>PPL2020ASSETS</v>
      </c>
      <c r="R701" s="47"/>
      <c r="S701" s="131"/>
      <c r="T701" s="131"/>
      <c r="U701" s="178"/>
      <c r="V701" s="178"/>
      <c r="X701" s="178"/>
      <c r="Y701" s="178"/>
    </row>
    <row r="702" spans="1:25" x14ac:dyDescent="0.4">
      <c r="E702" s="30"/>
      <c r="F702" s="30"/>
      <c r="G702" s="30"/>
      <c r="H702" s="30"/>
      <c r="I702" s="30"/>
      <c r="J702" s="30"/>
    </row>
    <row r="703" spans="1:25" x14ac:dyDescent="0.4">
      <c r="E703" s="30"/>
      <c r="F703" s="30"/>
      <c r="G703" s="30"/>
      <c r="H703" s="30"/>
      <c r="I703" s="30"/>
      <c r="J703" s="30"/>
    </row>
    <row r="705" spans="1:24" x14ac:dyDescent="0.4">
      <c r="A705" s="10" t="s">
        <v>219</v>
      </c>
      <c r="B705" s="11"/>
      <c r="C705" s="12"/>
      <c r="D705" s="13"/>
      <c r="E705" s="24"/>
      <c r="F705" s="24"/>
      <c r="G705" s="24"/>
      <c r="H705" s="24"/>
      <c r="I705" s="14"/>
      <c r="J705" s="14"/>
      <c r="K705" s="14"/>
      <c r="L705" s="14"/>
      <c r="M705" s="14"/>
      <c r="N705" s="13"/>
      <c r="O705" s="13"/>
      <c r="P705" s="13"/>
      <c r="Q705" s="13"/>
      <c r="R705" s="13"/>
    </row>
    <row r="706" spans="1:24" x14ac:dyDescent="0.4">
      <c r="A706" s="13" t="s">
        <v>479</v>
      </c>
      <c r="B706" s="11"/>
      <c r="C706" s="12"/>
      <c r="D706" s="13"/>
      <c r="E706" s="24"/>
      <c r="F706" s="24"/>
      <c r="G706" s="24"/>
      <c r="H706" s="24"/>
      <c r="I706" s="14"/>
      <c r="J706" s="14"/>
      <c r="K706" s="14"/>
      <c r="L706" s="14"/>
      <c r="M706" s="14"/>
      <c r="N706" s="13"/>
      <c r="O706" s="13"/>
      <c r="P706" s="13"/>
      <c r="Q706" s="13"/>
      <c r="R706" s="13"/>
    </row>
    <row r="707" spans="1:24" ht="36.9" x14ac:dyDescent="0.4">
      <c r="A707" s="10" t="s">
        <v>84</v>
      </c>
      <c r="B707" s="15" t="s">
        <v>187</v>
      </c>
      <c r="C707" s="12"/>
      <c r="D707" s="12" t="s">
        <v>96</v>
      </c>
      <c r="E707" s="40" t="s">
        <v>220</v>
      </c>
      <c r="F707" s="40" t="s">
        <v>221</v>
      </c>
      <c r="G707" s="40" t="s">
        <v>130</v>
      </c>
      <c r="H707" s="40" t="s">
        <v>101</v>
      </c>
      <c r="I707" s="14"/>
      <c r="J707" s="14"/>
      <c r="K707" s="14"/>
      <c r="L707" s="14"/>
      <c r="M707" s="14"/>
      <c r="N707" s="13"/>
      <c r="O707" s="13"/>
      <c r="P707" s="13"/>
      <c r="Q707" s="20"/>
      <c r="R707" s="21" t="s">
        <v>102</v>
      </c>
      <c r="S707" s="176" t="s">
        <v>103</v>
      </c>
      <c r="T707" s="176" t="s">
        <v>104</v>
      </c>
      <c r="U707" s="176" t="s">
        <v>105</v>
      </c>
      <c r="V707" s="176" t="s">
        <v>106</v>
      </c>
      <c r="W707" s="177"/>
      <c r="X707" s="177"/>
    </row>
    <row r="708" spans="1:24" ht="12.6" x14ac:dyDescent="0.45">
      <c r="A708" s="10"/>
      <c r="B708" s="11"/>
      <c r="C708" s="12">
        <v>2022</v>
      </c>
      <c r="D708" s="23">
        <f>SUM(E708:M708)</f>
        <v>9800000</v>
      </c>
      <c r="E708" s="40">
        <v>3266000</v>
      </c>
      <c r="F708" s="40">
        <v>7935000</v>
      </c>
      <c r="G708" s="40">
        <v>0</v>
      </c>
      <c r="H708" s="40">
        <v>-1401000</v>
      </c>
      <c r="I708" s="14"/>
      <c r="J708" s="14"/>
      <c r="K708" s="14"/>
      <c r="L708" s="14"/>
      <c r="M708" s="14"/>
      <c r="N708" s="13"/>
      <c r="O708" s="13"/>
      <c r="P708" s="13"/>
      <c r="Q708" s="13" t="str">
        <f>$A$707&amp;C708&amp;"REV"</f>
        <v>PEG2022REV</v>
      </c>
      <c r="R708" s="47">
        <f>IF(F708/D708&gt;1,1,F708/D708)</f>
        <v>0.8096938775510204</v>
      </c>
      <c r="S708" s="131">
        <v>0.68098028630027929</v>
      </c>
      <c r="T708" s="131">
        <v>0.31901971369972065</v>
      </c>
      <c r="U708" s="178">
        <f>IF(OR(ISBLANK($R708),ISBLANK(S708)),"NA",$R708*S708)</f>
        <v>0.55138556855027721</v>
      </c>
      <c r="V708" s="178">
        <f>IF(OR(ISBLANK($R708),ISBLANK(T708)),"NA",$R708*T708)</f>
        <v>0.2583083090007432</v>
      </c>
      <c r="W708" s="177"/>
      <c r="X708" s="177"/>
    </row>
    <row r="709" spans="1:24" ht="12.6" x14ac:dyDescent="0.45">
      <c r="A709" s="13"/>
      <c r="B709" s="11" t="s">
        <v>107</v>
      </c>
      <c r="C709" s="12">
        <v>2021</v>
      </c>
      <c r="D709" s="23">
        <f>SUM(E709:M709)</f>
        <v>9722000</v>
      </c>
      <c r="E709" s="40">
        <v>3147000</v>
      </c>
      <c r="F709" s="40">
        <v>7122000</v>
      </c>
      <c r="G709" s="40">
        <v>620000</v>
      </c>
      <c r="H709" s="40">
        <v>-1167000</v>
      </c>
      <c r="I709" s="38"/>
      <c r="J709" s="14"/>
      <c r="K709" s="14"/>
      <c r="L709" s="14"/>
      <c r="M709" s="14"/>
      <c r="N709" s="13"/>
      <c r="O709" s="13"/>
      <c r="P709" s="13"/>
      <c r="Q709" s="13" t="str">
        <f>$A$707&amp;C709&amp;"REV"</f>
        <v>PEG2021REV</v>
      </c>
      <c r="R709" s="47">
        <f>IF(F709/D709&gt;1,1,F709/D709)</f>
        <v>0.73256531577864636</v>
      </c>
      <c r="S709" s="131">
        <v>0.68098028630027929</v>
      </c>
      <c r="T709" s="131">
        <v>0.31901971369972065</v>
      </c>
      <c r="U709" s="178">
        <f>IF(OR(ISBLANK($R709),ISBLANK(S709)),"NA",$R709*S709)</f>
        <v>0.49886253847259709</v>
      </c>
      <c r="V709" s="178">
        <f>IF(OR(ISBLANK($R709),ISBLANK(T709)),"NA",$R709*T709)</f>
        <v>0.23370277730604921</v>
      </c>
      <c r="W709" s="178"/>
      <c r="X709" s="178"/>
    </row>
    <row r="710" spans="1:24" ht="12.6" x14ac:dyDescent="0.45">
      <c r="A710" s="13"/>
      <c r="B710" s="13"/>
      <c r="C710" s="88">
        <v>2020</v>
      </c>
      <c r="D710" s="23">
        <f>SUM(E710:M710)</f>
        <v>9603000</v>
      </c>
      <c r="E710" s="83">
        <v>3634000</v>
      </c>
      <c r="F710" s="83">
        <v>6608000</v>
      </c>
      <c r="G710" s="83">
        <v>595000</v>
      </c>
      <c r="H710" s="83">
        <v>-1234000</v>
      </c>
      <c r="I710" s="38"/>
      <c r="J710" s="14"/>
      <c r="K710" s="14"/>
      <c r="L710" s="14"/>
      <c r="M710" s="14"/>
      <c r="N710" s="13"/>
      <c r="O710" s="13"/>
      <c r="P710" s="13"/>
      <c r="Q710" s="13" t="str">
        <f t="shared" ref="Q710" si="424">$A$707&amp;C710&amp;"REV"</f>
        <v>PEG2020REV</v>
      </c>
      <c r="R710" s="47">
        <f t="shared" ref="R710" si="425">IF(F710/D710&gt;1,1,F710/D710)</f>
        <v>0.68811829636571908</v>
      </c>
      <c r="S710" s="131">
        <v>0.72023398633257407</v>
      </c>
      <c r="T710" s="131">
        <v>0.27976601366742598</v>
      </c>
      <c r="U710" s="178">
        <f t="shared" ref="U710:V710" si="426">IF(OR(ISBLANK($R710),ISBLANK(S710)),"NA",$R710*S710)</f>
        <v>0.49560618365986148</v>
      </c>
      <c r="V710" s="178">
        <f t="shared" si="426"/>
        <v>0.19251211270585764</v>
      </c>
      <c r="W710" s="178"/>
      <c r="X710" s="178"/>
    </row>
    <row r="711" spans="1:24" x14ac:dyDescent="0.4">
      <c r="A711" s="13"/>
      <c r="B711" s="11"/>
      <c r="C711" s="12"/>
      <c r="D711" s="13"/>
      <c r="E711" s="29"/>
      <c r="F711" s="29"/>
      <c r="G711" s="29"/>
      <c r="H711" s="29"/>
      <c r="I711" s="38"/>
      <c r="J711" s="14"/>
      <c r="K711" s="14"/>
      <c r="L711" s="14"/>
      <c r="M711" s="14"/>
      <c r="N711" s="13"/>
      <c r="O711" s="13"/>
      <c r="P711" s="13"/>
      <c r="Q711" s="13"/>
      <c r="R711" s="13"/>
    </row>
    <row r="712" spans="1:24" ht="12.6" x14ac:dyDescent="0.45">
      <c r="A712" s="13"/>
      <c r="B712" s="11"/>
      <c r="C712" s="12">
        <v>2022</v>
      </c>
      <c r="D712" s="23">
        <f>SUM(E712:H712)</f>
        <v>1381000</v>
      </c>
      <c r="E712" s="29">
        <v>-511000</v>
      </c>
      <c r="F712" s="29">
        <v>1892000</v>
      </c>
      <c r="G712" s="29">
        <v>0</v>
      </c>
      <c r="H712" s="27">
        <v>0</v>
      </c>
      <c r="I712" s="38"/>
      <c r="J712" s="14"/>
      <c r="K712" s="14"/>
      <c r="L712" s="14"/>
      <c r="M712" s="14"/>
      <c r="N712" s="13"/>
      <c r="O712" s="13"/>
      <c r="P712" s="13"/>
      <c r="Q712" s="13" t="str">
        <f>$A$707&amp;C712&amp;"INC"</f>
        <v>PEG2022INC</v>
      </c>
      <c r="R712" s="47">
        <f>IF(F712/D712&gt;1,1,F712/D712)</f>
        <v>1</v>
      </c>
      <c r="S712" s="131">
        <v>0.76350927660873014</v>
      </c>
      <c r="T712" s="131">
        <v>0.23649072339126989</v>
      </c>
      <c r="U712" s="178">
        <f>IF(OR(ISBLANK($R712),ISBLANK(S712)),"NA",$R712*S712)</f>
        <v>0.76350927660873014</v>
      </c>
      <c r="V712" s="178">
        <f>IF(OR(ISBLANK($R712),ISBLANK(T712)),"NA",$R712*T712)</f>
        <v>0.23649072339126989</v>
      </c>
    </row>
    <row r="713" spans="1:24" ht="12.6" x14ac:dyDescent="0.45">
      <c r="A713" s="13"/>
      <c r="B713" s="11" t="s">
        <v>109</v>
      </c>
      <c r="C713" s="12">
        <v>2021</v>
      </c>
      <c r="D713" s="129">
        <f>SUM(F713:H713)</f>
        <v>1855000</v>
      </c>
      <c r="E713" s="230">
        <v>-2711000</v>
      </c>
      <c r="F713" s="29">
        <v>1818000</v>
      </c>
      <c r="G713" s="29">
        <v>37000</v>
      </c>
      <c r="H713" s="27">
        <v>0</v>
      </c>
      <c r="I713" s="38"/>
      <c r="J713" s="14"/>
      <c r="K713" s="14"/>
      <c r="L713" s="14"/>
      <c r="M713" s="14"/>
      <c r="N713" s="13"/>
      <c r="O713" s="13"/>
      <c r="P713" s="13"/>
      <c r="Q713" s="13" t="str">
        <f>$A$707&amp;C713&amp;"INC"</f>
        <v>PEG2021INC</v>
      </c>
      <c r="R713" s="47">
        <f t="shared" ref="R713:R714" si="427">IF(F713/D713&gt;1,1,F713/D713)</f>
        <v>0.9800539083557952</v>
      </c>
      <c r="S713" s="131">
        <v>0.76350927660873014</v>
      </c>
      <c r="T713" s="131">
        <v>0.23649072339126989</v>
      </c>
      <c r="U713" s="178">
        <f>IF(OR(ISBLANK($R713),ISBLANK(S713)),"NA",$R713*S713)</f>
        <v>0.74828025060629189</v>
      </c>
      <c r="V713" s="178">
        <f>IF(OR(ISBLANK($R713),ISBLANK(T713)),"NA",$R713*T713)</f>
        <v>0.23177365774950334</v>
      </c>
      <c r="W713" s="178"/>
      <c r="X713" s="178"/>
    </row>
    <row r="714" spans="1:24" ht="12.6" x14ac:dyDescent="0.45">
      <c r="A714" s="13"/>
      <c r="B714" s="13"/>
      <c r="C714" s="88">
        <v>2020</v>
      </c>
      <c r="D714" s="23">
        <f>SUM(E714:M714)</f>
        <v>2270000</v>
      </c>
      <c r="E714" s="29">
        <v>603000</v>
      </c>
      <c r="F714" s="29">
        <v>1639000</v>
      </c>
      <c r="G714" s="29">
        <v>28000</v>
      </c>
      <c r="H714" s="27">
        <v>0</v>
      </c>
      <c r="I714" s="231"/>
      <c r="J714" s="14"/>
      <c r="K714" s="14"/>
      <c r="L714" s="14"/>
      <c r="M714" s="14"/>
      <c r="N714" s="13"/>
      <c r="O714" s="13"/>
      <c r="P714" s="13"/>
      <c r="Q714" s="13" t="str">
        <f t="shared" ref="Q714" si="428">$A$707&amp;C714&amp;"INC"</f>
        <v>PEG2020INC</v>
      </c>
      <c r="R714" s="47">
        <f t="shared" si="427"/>
        <v>0.72202643171806169</v>
      </c>
      <c r="S714" s="131">
        <v>0.79081764076520622</v>
      </c>
      <c r="T714" s="131">
        <v>0.20918235923479375</v>
      </c>
      <c r="U714" s="178">
        <f t="shared" ref="U714:V714" si="429">IF(OR(ISBLANK($R714),ISBLANK(S714)),"NA",$R714*S714)</f>
        <v>0.57099123930139783</v>
      </c>
      <c r="V714" s="178">
        <f t="shared" si="429"/>
        <v>0.15103519241666385</v>
      </c>
      <c r="W714" s="178"/>
      <c r="X714" s="178"/>
    </row>
    <row r="715" spans="1:24" x14ac:dyDescent="0.4">
      <c r="A715" s="13"/>
      <c r="B715" s="11"/>
      <c r="C715" s="12"/>
      <c r="D715" s="46"/>
      <c r="E715" s="29"/>
      <c r="F715" s="29"/>
      <c r="G715" s="29"/>
      <c r="H715" s="29"/>
      <c r="I715" s="38"/>
      <c r="J715" s="14"/>
      <c r="K715" s="14"/>
      <c r="L715" s="14"/>
      <c r="M715" s="14"/>
      <c r="N715" s="13"/>
      <c r="O715" s="13"/>
      <c r="P715" s="13"/>
      <c r="Q715" s="13"/>
      <c r="R715" s="13"/>
    </row>
    <row r="716" spans="1:24" ht="12.6" x14ac:dyDescent="0.45">
      <c r="A716" s="13"/>
      <c r="B716" s="11"/>
      <c r="C716" s="12">
        <v>2022</v>
      </c>
      <c r="D716" s="23">
        <f t="shared" ref="D716" si="430">SUM(E716:M716)</f>
        <v>48718000</v>
      </c>
      <c r="E716" s="29">
        <v>9285000</v>
      </c>
      <c r="F716" s="29">
        <v>39960000</v>
      </c>
      <c r="G716" s="29">
        <v>0</v>
      </c>
      <c r="H716" s="29">
        <v>-527000</v>
      </c>
      <c r="I716" s="38"/>
      <c r="J716" s="14"/>
      <c r="K716" s="14"/>
      <c r="L716" s="14"/>
      <c r="M716" s="14"/>
      <c r="N716" s="13"/>
      <c r="O716" s="13"/>
      <c r="P716" s="13"/>
      <c r="Q716" s="13" t="str">
        <f>$A$707&amp;C716&amp;"ASSETS"</f>
        <v>PEG2022ASSETS</v>
      </c>
      <c r="R716" s="47">
        <f t="shared" ref="R716:R718" si="431">IF(F716/D716&gt;1,1,F716/D716)</f>
        <v>0.8202307155466152</v>
      </c>
      <c r="S716" s="131">
        <v>0.73927702867047751</v>
      </c>
      <c r="T716" s="131">
        <v>0.2581010425653073</v>
      </c>
      <c r="U716" s="178">
        <f>IF(OR(ISBLANK($R716),ISBLANK(S716)),"NA",$R716*S716)</f>
        <v>0.60637772621356134</v>
      </c>
      <c r="V716" s="178">
        <f>IF(OR(ISBLANK($R716),ISBLANK(T716)),"NA",$R716*T716)</f>
        <v>0.21170240282666938</v>
      </c>
    </row>
    <row r="717" spans="1:24" ht="12.6" x14ac:dyDescent="0.45">
      <c r="A717" s="13"/>
      <c r="B717" s="11" t="s">
        <v>110</v>
      </c>
      <c r="C717" s="12">
        <v>2021</v>
      </c>
      <c r="D717" s="23">
        <f t="shared" ref="D717:D718" si="432">SUM(E717:M717)</f>
        <v>48999000</v>
      </c>
      <c r="E717" s="29">
        <v>9777000</v>
      </c>
      <c r="F717" s="29">
        <v>37198000</v>
      </c>
      <c r="G717" s="29">
        <v>5150000</v>
      </c>
      <c r="H717" s="29">
        <v>-3126000</v>
      </c>
      <c r="I717" s="38"/>
      <c r="J717" s="14"/>
      <c r="K717" s="14"/>
      <c r="L717" s="14"/>
      <c r="M717" s="14"/>
      <c r="N717" s="13"/>
      <c r="O717" s="13"/>
      <c r="P717" s="13"/>
      <c r="Q717" s="13" t="str">
        <f>$A$707&amp;C717&amp;"ASSETS"</f>
        <v>PEG2021ASSETS</v>
      </c>
      <c r="R717" s="47">
        <f t="shared" si="431"/>
        <v>0.75915835017041167</v>
      </c>
      <c r="S717" s="131">
        <v>0.73927702867047751</v>
      </c>
      <c r="T717" s="131">
        <v>0.2581010425653073</v>
      </c>
      <c r="U717" s="178">
        <f>IF(OR(ISBLANK($R717),ISBLANK(S717)),"NA",$R717*S717)</f>
        <v>0.56122832940436385</v>
      </c>
      <c r="V717" s="178">
        <f>IF(OR(ISBLANK($R717),ISBLANK(T717)),"NA",$R717*T717)</f>
        <v>0.1959395616511419</v>
      </c>
      <c r="W717" s="178"/>
      <c r="X717" s="178"/>
    </row>
    <row r="718" spans="1:24" ht="12.6" x14ac:dyDescent="0.45">
      <c r="A718" s="13"/>
      <c r="B718" s="13"/>
      <c r="C718" s="88">
        <v>2020</v>
      </c>
      <c r="D718" s="23">
        <f t="shared" si="432"/>
        <v>50054000</v>
      </c>
      <c r="E718" s="29">
        <v>12704000</v>
      </c>
      <c r="F718" s="29">
        <v>35581000</v>
      </c>
      <c r="G718" s="29">
        <v>2696000</v>
      </c>
      <c r="H718" s="29">
        <v>-927000</v>
      </c>
      <c r="I718" s="38"/>
      <c r="J718" s="14"/>
      <c r="K718" s="14"/>
      <c r="L718" s="14"/>
      <c r="M718" s="14"/>
      <c r="N718" s="13"/>
      <c r="O718" s="13"/>
      <c r="P718" s="13"/>
      <c r="Q718" s="13" t="str">
        <f t="shared" ref="Q718" si="433">$A$707&amp;C718&amp;"ASSETS"</f>
        <v>PEG2020ASSETS</v>
      </c>
      <c r="R718" s="47">
        <f t="shared" si="431"/>
        <v>0.71085227953809882</v>
      </c>
      <c r="S718" s="131">
        <v>0.74901439386540647</v>
      </c>
      <c r="T718" s="131">
        <v>0.24800843445993673</v>
      </c>
      <c r="U718" s="178">
        <f t="shared" ref="U718:V718" si="434">IF(OR(ISBLANK($R718),ISBLANK(S718)),"NA",$R718*S718)</f>
        <v>0.53243858928607157</v>
      </c>
      <c r="V718" s="178">
        <f t="shared" si="434"/>
        <v>0.17629736098052121</v>
      </c>
      <c r="W718" s="178"/>
      <c r="X718" s="178"/>
    </row>
    <row r="719" spans="1:24" x14ac:dyDescent="0.4">
      <c r="E719" s="30"/>
      <c r="F719" s="30"/>
      <c r="G719" s="30"/>
      <c r="H719" s="30"/>
      <c r="I719" s="30"/>
    </row>
    <row r="720" spans="1:24" x14ac:dyDescent="0.4">
      <c r="E720" s="30"/>
      <c r="F720" s="30"/>
      <c r="G720" s="30"/>
      <c r="H720" s="30"/>
      <c r="I720" s="30"/>
    </row>
    <row r="721" spans="1:40" x14ac:dyDescent="0.4">
      <c r="E721" s="30"/>
      <c r="F721" s="30"/>
      <c r="G721" s="30"/>
      <c r="H721" s="30"/>
      <c r="I721" s="30"/>
    </row>
    <row r="722" spans="1:40" x14ac:dyDescent="0.4">
      <c r="A722" s="10" t="s">
        <v>85</v>
      </c>
      <c r="B722" s="11"/>
      <c r="C722" s="12"/>
      <c r="D722" s="13"/>
      <c r="E722" s="24"/>
      <c r="F722" s="24"/>
      <c r="G722" s="24"/>
      <c r="H722" s="24"/>
      <c r="I722" s="24"/>
      <c r="J722" s="24"/>
      <c r="K722" s="24"/>
      <c r="L722" s="24"/>
      <c r="M722" s="14"/>
      <c r="N722" s="13"/>
      <c r="O722" s="13"/>
      <c r="P722" s="13"/>
      <c r="Q722" s="13"/>
      <c r="R722" s="13"/>
    </row>
    <row r="723" spans="1:40" x14ac:dyDescent="0.4">
      <c r="A723" s="13" t="s">
        <v>222</v>
      </c>
      <c r="B723" s="11"/>
      <c r="C723" s="12"/>
      <c r="D723" s="12"/>
      <c r="E723" s="40"/>
      <c r="F723" s="40"/>
      <c r="G723" s="40"/>
      <c r="H723" s="40"/>
      <c r="I723" s="40"/>
      <c r="J723" s="40"/>
      <c r="K723" s="40"/>
      <c r="L723" s="40"/>
      <c r="M723" s="14"/>
      <c r="N723" s="13"/>
      <c r="O723" s="13"/>
      <c r="P723" s="13"/>
      <c r="Q723" s="13"/>
      <c r="R723" s="13"/>
    </row>
    <row r="724" spans="1:40" ht="36.9" x14ac:dyDescent="0.4">
      <c r="A724" s="10" t="s">
        <v>86</v>
      </c>
      <c r="B724" s="15" t="s">
        <v>187</v>
      </c>
      <c r="C724" s="12"/>
      <c r="D724" s="12" t="s">
        <v>96</v>
      </c>
      <c r="E724" s="27" t="s">
        <v>223</v>
      </c>
      <c r="F724" s="27" t="s">
        <v>224</v>
      </c>
      <c r="G724" s="30" t="s">
        <v>225</v>
      </c>
      <c r="H724" s="232" t="s">
        <v>226</v>
      </c>
      <c r="I724" s="27" t="s">
        <v>227</v>
      </c>
      <c r="J724" s="27" t="s">
        <v>228</v>
      </c>
      <c r="K724" s="27" t="s">
        <v>229</v>
      </c>
      <c r="L724" s="27" t="s">
        <v>189</v>
      </c>
      <c r="M724" s="27" t="s">
        <v>230</v>
      </c>
      <c r="N724" s="26" t="s">
        <v>231</v>
      </c>
      <c r="O724" s="55" t="s">
        <v>140</v>
      </c>
      <c r="P724" s="13"/>
      <c r="Q724" s="20"/>
      <c r="R724" s="21" t="s">
        <v>102</v>
      </c>
      <c r="S724" s="176" t="s">
        <v>103</v>
      </c>
      <c r="T724" s="176" t="s">
        <v>104</v>
      </c>
      <c r="U724" s="176" t="s">
        <v>105</v>
      </c>
      <c r="V724" s="176" t="s">
        <v>106</v>
      </c>
      <c r="W724" s="177"/>
      <c r="X724" s="177"/>
      <c r="Z724" s="21" t="s">
        <v>232</v>
      </c>
      <c r="AA724" s="21" t="s">
        <v>233</v>
      </c>
      <c r="AB724" s="21" t="s">
        <v>234</v>
      </c>
      <c r="AC724" s="21" t="s">
        <v>235</v>
      </c>
      <c r="AD724" s="21" t="s">
        <v>236</v>
      </c>
      <c r="AE724" s="21" t="s">
        <v>237</v>
      </c>
      <c r="AF724" s="21" t="s">
        <v>238</v>
      </c>
      <c r="AG724" s="21" t="s">
        <v>235</v>
      </c>
      <c r="AH724" s="21" t="s">
        <v>236</v>
      </c>
      <c r="AI724" s="21" t="s">
        <v>239</v>
      </c>
      <c r="AJ724" s="21" t="s">
        <v>240</v>
      </c>
      <c r="AK724" s="21" t="s">
        <v>235</v>
      </c>
      <c r="AL724" s="21" t="s">
        <v>236</v>
      </c>
      <c r="AM724" s="21" t="s">
        <v>239</v>
      </c>
      <c r="AN724" s="21" t="s">
        <v>240</v>
      </c>
    </row>
    <row r="725" spans="1:40" ht="14.4" x14ac:dyDescent="0.55000000000000004">
      <c r="A725" s="10"/>
      <c r="B725" s="11"/>
      <c r="C725" s="12">
        <v>2022</v>
      </c>
      <c r="D725" s="23">
        <f>SUM(E725:N725)</f>
        <v>18646507.5</v>
      </c>
      <c r="E725" s="27">
        <v>5838000</v>
      </c>
      <c r="F725" s="27">
        <v>6840000</v>
      </c>
      <c r="G725" s="30">
        <f>0.8025*5243000</f>
        <v>4207507.5</v>
      </c>
      <c r="H725" s="30">
        <v>0</v>
      </c>
      <c r="I725" s="30">
        <v>0</v>
      </c>
      <c r="J725" s="30">
        <v>0</v>
      </c>
      <c r="K725" s="147">
        <v>1919000</v>
      </c>
      <c r="L725" s="27">
        <v>1000</v>
      </c>
      <c r="M725" s="27">
        <v>-1000</v>
      </c>
      <c r="N725" s="26">
        <v>-158000</v>
      </c>
      <c r="O725" s="55"/>
      <c r="P725" s="13"/>
      <c r="Q725" s="13" t="str">
        <f>$A$724&amp;C725&amp;"REV"</f>
        <v>SRE2022REV</v>
      </c>
      <c r="R725" s="47">
        <f>IF(SUM(E725:F725)/D725&gt;1,1,SUM(E725:F725)/D725)</f>
        <v>0.67991284695002541</v>
      </c>
      <c r="S725" s="131">
        <f>E725*AC725/SUM($E725:$F725)</f>
        <v>0.37821422937371824</v>
      </c>
      <c r="T725" s="131">
        <f>(E725*AD725+F725)/SUM($E725:$F725)</f>
        <v>0.62178577062628171</v>
      </c>
      <c r="U725" s="178">
        <f t="shared" ref="U725:V727" si="435">IF(OR(ISBLANK($R725),ISBLANK(S725)),"NA",$R725*S725)</f>
        <v>0.25715271345049467</v>
      </c>
      <c r="V725" s="178">
        <f t="shared" si="435"/>
        <v>0.42276013349953068</v>
      </c>
      <c r="W725" s="177"/>
      <c r="X725" s="177"/>
      <c r="Z725" s="22">
        <v>2022</v>
      </c>
      <c r="AA725" s="13">
        <v>4795</v>
      </c>
      <c r="AB725" s="13">
        <v>1043</v>
      </c>
      <c r="AC725" s="233">
        <f t="shared" ref="AC725:AD727" si="436">AA725/($AA725+$AB725)</f>
        <v>0.82134292565947242</v>
      </c>
      <c r="AD725" s="233">
        <f t="shared" si="436"/>
        <v>0.17865707434052758</v>
      </c>
      <c r="AE725" s="13">
        <v>994</v>
      </c>
      <c r="AF725" s="13">
        <v>363</v>
      </c>
      <c r="AG725" s="233">
        <f t="shared" ref="AG725:AH727" si="437">AE725/($AE725+$AF725)</f>
        <v>0.73249815770081061</v>
      </c>
      <c r="AH725" s="233">
        <f t="shared" si="437"/>
        <v>0.26750184229918939</v>
      </c>
      <c r="AI725" s="234">
        <f t="shared" ref="AI725:AJ727" si="438">(AA725-AE725)/($AA725-$AE725+$AB725-$AF725)</f>
        <v>0.84824815889310423</v>
      </c>
      <c r="AJ725" s="234">
        <f t="shared" si="438"/>
        <v>0.15175184110689577</v>
      </c>
      <c r="AK725" s="233">
        <f t="shared" ref="AK725:AL727" si="439">AI725/($AI725+$AJ725)</f>
        <v>0.84824815889310423</v>
      </c>
      <c r="AL725" s="233">
        <f t="shared" si="439"/>
        <v>0.15175184110689577</v>
      </c>
      <c r="AM725" s="234">
        <f t="shared" ref="AM725:AN727" si="440">(AE725-AI725)/($AE725-$AI725+$AF725-$AJ725)</f>
        <v>0.73241279634299927</v>
      </c>
      <c r="AN725" s="234">
        <f t="shared" si="440"/>
        <v>0.26758720365700084</v>
      </c>
    </row>
    <row r="726" spans="1:40" ht="14.4" x14ac:dyDescent="0.55000000000000004">
      <c r="A726" s="13"/>
      <c r="B726" s="11" t="s">
        <v>107</v>
      </c>
      <c r="C726" s="88">
        <v>2021</v>
      </c>
      <c r="D726" s="23">
        <f>SUM(E726:N726)</f>
        <v>16680110</v>
      </c>
      <c r="E726" s="150">
        <v>5504000</v>
      </c>
      <c r="F726" s="150">
        <v>5515000</v>
      </c>
      <c r="G726" s="30">
        <f>0.8025*4764000</f>
        <v>3823110</v>
      </c>
      <c r="H726" s="30">
        <v>0</v>
      </c>
      <c r="I726" s="30">
        <v>0</v>
      </c>
      <c r="J726" s="30">
        <v>0</v>
      </c>
      <c r="K726" s="27">
        <v>1997000</v>
      </c>
      <c r="L726" s="27">
        <v>5000</v>
      </c>
      <c r="M726" s="150">
        <v>-1000</v>
      </c>
      <c r="N726" s="150">
        <v>-163000</v>
      </c>
      <c r="O726" s="55"/>
      <c r="P726" s="13"/>
      <c r="Q726" s="13" t="str">
        <f>$A$724&amp;C726&amp;"REV"</f>
        <v>SRE2021REV</v>
      </c>
      <c r="R726" s="47">
        <f>IF(SUM(E726:F726)/D726&gt;1,1,SUM(E726:F726)/D726)</f>
        <v>0.66060715426936634</v>
      </c>
      <c r="S726" s="131">
        <f>E726*AC726/SUM($E726:$F726)</f>
        <v>0.42345040384789906</v>
      </c>
      <c r="T726" s="131">
        <f>(E726*AD726+F726)/SUM($E726:$F726)</f>
        <v>0.57654959615210088</v>
      </c>
      <c r="U726" s="178">
        <f t="shared" si="435"/>
        <v>0.27973436626017451</v>
      </c>
      <c r="V726" s="178">
        <f t="shared" si="435"/>
        <v>0.38087278800919178</v>
      </c>
      <c r="W726" s="177"/>
      <c r="X726" s="177"/>
      <c r="Z726" s="235">
        <v>2021</v>
      </c>
      <c r="AA726" s="13">
        <v>4666</v>
      </c>
      <c r="AB726" s="13">
        <v>838</v>
      </c>
      <c r="AC726" s="233">
        <f t="shared" si="436"/>
        <v>0.84774709302325579</v>
      </c>
      <c r="AD726" s="233">
        <f t="shared" si="436"/>
        <v>0.15225290697674418</v>
      </c>
      <c r="AE726" s="13">
        <v>1069</v>
      </c>
      <c r="AF726" s="13">
        <v>242</v>
      </c>
      <c r="AG726" s="233">
        <f t="shared" si="437"/>
        <v>0.81540808543096877</v>
      </c>
      <c r="AH726" s="233">
        <f t="shared" si="437"/>
        <v>0.18459191456903126</v>
      </c>
      <c r="AI726" s="234">
        <f t="shared" si="438"/>
        <v>0.85785833532077271</v>
      </c>
      <c r="AJ726" s="234">
        <f t="shared" si="438"/>
        <v>0.14214166467922729</v>
      </c>
      <c r="AK726" s="233">
        <f t="shared" si="439"/>
        <v>0.85785833532077271</v>
      </c>
      <c r="AL726" s="233">
        <f t="shared" si="439"/>
        <v>0.14214166467922729</v>
      </c>
      <c r="AM726" s="234">
        <f t="shared" si="440"/>
        <v>0.8153756806600605</v>
      </c>
      <c r="AN726" s="234">
        <f t="shared" si="440"/>
        <v>0.18462431933993953</v>
      </c>
    </row>
    <row r="727" spans="1:40" ht="14.4" x14ac:dyDescent="0.55000000000000004">
      <c r="A727" s="13"/>
      <c r="B727" s="11"/>
      <c r="C727" s="88">
        <v>2020</v>
      </c>
      <c r="D727" s="23">
        <f>SUM(E727:N727)</f>
        <v>14990077.5</v>
      </c>
      <c r="E727" s="147">
        <v>5313000</v>
      </c>
      <c r="F727" s="147">
        <v>4748000</v>
      </c>
      <c r="G727" s="30">
        <f>0.8025*4511000</f>
        <v>3620077.5</v>
      </c>
      <c r="H727" s="30">
        <v>0</v>
      </c>
      <c r="I727" s="147">
        <v>0</v>
      </c>
      <c r="J727" s="30">
        <v>0</v>
      </c>
      <c r="K727" s="27">
        <v>1400000</v>
      </c>
      <c r="L727" s="27">
        <v>2000</v>
      </c>
      <c r="M727" s="150">
        <v>-3000</v>
      </c>
      <c r="N727" s="147">
        <v>-90000</v>
      </c>
      <c r="O727" s="14"/>
      <c r="P727" s="13"/>
      <c r="Q727" s="13" t="str">
        <f>$A$724&amp;C727&amp;"REV"</f>
        <v>SRE2020REV</v>
      </c>
      <c r="R727" s="47">
        <f>IF(SUM(E727:F727)/D727&gt;1,1,SUM(E727:F727)/D727)</f>
        <v>0.67117731712861395</v>
      </c>
      <c r="S727" s="131">
        <f>E727*AC727/SUM($E727:$F727)</f>
        <v>0.45909949309213793</v>
      </c>
      <c r="T727" s="131">
        <f>(E727*AD727+F727)/SUM($E727:$F727)</f>
        <v>0.54090050690786207</v>
      </c>
      <c r="U727" s="178">
        <f t="shared" si="435"/>
        <v>0.3081371660686878</v>
      </c>
      <c r="V727" s="178">
        <f t="shared" si="435"/>
        <v>0.36304015105992615</v>
      </c>
      <c r="W727" s="178"/>
      <c r="X727" s="178"/>
      <c r="Z727" s="88">
        <v>2020</v>
      </c>
      <c r="AA727" s="13">
        <v>4619</v>
      </c>
      <c r="AB727" s="13">
        <v>694</v>
      </c>
      <c r="AC727" s="233">
        <f t="shared" si="436"/>
        <v>0.8693769998117824</v>
      </c>
      <c r="AD727" s="233">
        <f t="shared" si="436"/>
        <v>0.13062300018821757</v>
      </c>
      <c r="AE727" s="13">
        <v>1191</v>
      </c>
      <c r="AF727" s="13">
        <v>162</v>
      </c>
      <c r="AG727" s="233">
        <f t="shared" si="437"/>
        <v>0.88026607538802659</v>
      </c>
      <c r="AH727" s="233">
        <f t="shared" si="437"/>
        <v>0.11973392461197339</v>
      </c>
      <c r="AI727" s="234">
        <f t="shared" si="438"/>
        <v>0.86565656565656568</v>
      </c>
      <c r="AJ727" s="234">
        <f t="shared" si="438"/>
        <v>0.13434343434343435</v>
      </c>
      <c r="AK727" s="233">
        <f t="shared" si="439"/>
        <v>0.86565656565656568</v>
      </c>
      <c r="AL727" s="233">
        <f t="shared" si="439"/>
        <v>0.13434343434343435</v>
      </c>
      <c r="AM727" s="234">
        <f t="shared" si="440"/>
        <v>0.88027688123841974</v>
      </c>
      <c r="AN727" s="234">
        <f t="shared" si="440"/>
        <v>0.1197231187615803</v>
      </c>
    </row>
    <row r="728" spans="1:40" x14ac:dyDescent="0.4">
      <c r="A728" s="13"/>
      <c r="B728" s="11"/>
      <c r="C728" s="12"/>
      <c r="D728" s="23"/>
      <c r="E728" s="29"/>
      <c r="F728" s="29"/>
      <c r="G728" s="29"/>
      <c r="H728" s="29"/>
      <c r="I728" s="29"/>
      <c r="J728" s="29"/>
      <c r="K728" s="29"/>
      <c r="L728" s="29"/>
      <c r="M728" s="29"/>
      <c r="N728" s="24"/>
      <c r="O728" s="14"/>
      <c r="P728" s="13"/>
      <c r="Q728" s="13"/>
      <c r="R728" s="13"/>
      <c r="Z728" s="13"/>
      <c r="AA728" s="13"/>
      <c r="AB728" s="13"/>
      <c r="AC728" s="13"/>
      <c r="AD728" s="13"/>
      <c r="AE728" s="13"/>
      <c r="AF728" s="13"/>
      <c r="AG728" s="13"/>
      <c r="AH728" s="13"/>
      <c r="AI728" s="13"/>
      <c r="AJ728" s="13"/>
      <c r="AK728" s="13"/>
      <c r="AL728" s="13"/>
      <c r="AM728" s="13"/>
      <c r="AN728" s="13"/>
    </row>
    <row r="729" spans="1:40" ht="12.6" x14ac:dyDescent="0.45">
      <c r="A729" s="13"/>
      <c r="B729" s="11"/>
      <c r="C729" s="12">
        <v>2022</v>
      </c>
      <c r="D729" s="23">
        <f>SUM(E729:N729)</f>
        <v>3984400</v>
      </c>
      <c r="E729" s="29">
        <f>(915+182+449-5)*1000</f>
        <v>1541000</v>
      </c>
      <c r="F729" s="29">
        <f>(599+138+198-6)*1000</f>
        <v>929000</v>
      </c>
      <c r="G729" s="29">
        <f>0.8025*1360000</f>
        <v>1091400</v>
      </c>
      <c r="H729" s="30">
        <v>0</v>
      </c>
      <c r="I729" s="30">
        <v>0</v>
      </c>
      <c r="J729" s="30">
        <v>0</v>
      </c>
      <c r="K729" s="29">
        <f>(310+249+104-44)*1000</f>
        <v>619000</v>
      </c>
      <c r="L729" s="29">
        <f>((-466)+(-13)+306-20)*1000</f>
        <v>-193000</v>
      </c>
      <c r="M729" s="30">
        <v>0</v>
      </c>
      <c r="N729" s="24">
        <f>((-3)+0)*1000</f>
        <v>-3000</v>
      </c>
      <c r="O729" s="30">
        <v>0</v>
      </c>
      <c r="P729" s="13"/>
      <c r="Q729" s="13" t="str">
        <f>$A$724&amp;C729&amp;"INC"</f>
        <v>SRE2022INC</v>
      </c>
      <c r="R729" s="47">
        <f>IF(SUM(E729:F729)/D729&gt;1,1,SUM(E729:F729)/D729)</f>
        <v>0.61991767894789684</v>
      </c>
      <c r="S729" s="131">
        <f>E729*AI725/SUM($E729:$F729)</f>
        <v>0.52921069346326866</v>
      </c>
      <c r="T729" s="131">
        <f>(E729*AJ725+F729)/SUM($E729:$F729)</f>
        <v>0.47078930653673134</v>
      </c>
      <c r="U729" s="178">
        <f t="shared" ref="U729:V731" si="441">IF(OR(ISBLANK($R729),ISBLANK(S729)),"NA",$R729*S729)</f>
        <v>0.32806706476615644</v>
      </c>
      <c r="V729" s="178">
        <f t="shared" si="441"/>
        <v>0.29185061418174041</v>
      </c>
      <c r="Z729" s="13"/>
      <c r="AA729" s="13"/>
      <c r="AB729" s="13"/>
      <c r="AC729" s="13"/>
      <c r="AD729" s="13"/>
      <c r="AE729" s="13"/>
      <c r="AF729" s="13"/>
      <c r="AG729" s="13"/>
      <c r="AH729" s="13"/>
      <c r="AI729" s="13"/>
      <c r="AJ729" s="13"/>
      <c r="AK729" s="13"/>
      <c r="AL729" s="13"/>
      <c r="AM729" s="13"/>
      <c r="AN729" s="13"/>
    </row>
    <row r="730" spans="1:40" ht="14.4" x14ac:dyDescent="0.55000000000000004">
      <c r="A730" s="13"/>
      <c r="B730" s="11" t="s">
        <v>109</v>
      </c>
      <c r="C730" s="88">
        <v>2021</v>
      </c>
      <c r="D730" s="23">
        <f>SUM(E730:N730)</f>
        <v>2833605</v>
      </c>
      <c r="E730" s="143">
        <f>(819+204+412-1)*1000</f>
        <v>1434000</v>
      </c>
      <c r="F730" s="143">
        <f>((-427)+(-310)+157-1)*1000</f>
        <v>-581000</v>
      </c>
      <c r="G730" s="29">
        <f>0.8025*1202000</f>
        <v>964605</v>
      </c>
      <c r="H730" s="30">
        <v>0</v>
      </c>
      <c r="I730" s="147">
        <v>0</v>
      </c>
      <c r="J730" s="30">
        <v>0</v>
      </c>
      <c r="K730" s="29">
        <f>(682+238+205-75)*1000</f>
        <v>1050000</v>
      </c>
      <c r="L730" s="29">
        <f>((-436)+(-30)+444-(3))*1000</f>
        <v>-25000</v>
      </c>
      <c r="M730" s="30">
        <v>0</v>
      </c>
      <c r="N730" s="24">
        <f>((-20)-(-11))*1000</f>
        <v>-9000</v>
      </c>
      <c r="O730" s="147">
        <v>0</v>
      </c>
      <c r="P730" s="13"/>
      <c r="Q730" s="13" t="str">
        <f>$A$724&amp;C730&amp;"INC"</f>
        <v>SRE2021INC</v>
      </c>
      <c r="R730" s="47">
        <f>IF(SUM(E730:F730)/D730&gt;1,1,SUM(E730:F730)/D730)</f>
        <v>0.30102996006853461</v>
      </c>
      <c r="S730" s="131">
        <f>E730*AI726/SUM($E730:$F730)</f>
        <v>1.442167471101979</v>
      </c>
      <c r="T730" s="131">
        <f>(E730*AJ726+F730)/SUM($E730:$F730)</f>
        <v>-0.44216747110197896</v>
      </c>
      <c r="U730" s="178">
        <f t="shared" si="441"/>
        <v>0.43413561623796826</v>
      </c>
      <c r="V730" s="178">
        <f t="shared" si="441"/>
        <v>-0.13310565616943365</v>
      </c>
      <c r="W730" s="178"/>
      <c r="X730" s="178"/>
      <c r="Z730" s="209" t="s">
        <v>480</v>
      </c>
      <c r="AA730" s="13"/>
      <c r="AB730" s="13"/>
      <c r="AC730" s="13"/>
      <c r="AD730" s="13"/>
      <c r="AE730" s="13"/>
      <c r="AF730" s="13"/>
      <c r="AG730" s="13"/>
      <c r="AH730" s="13"/>
      <c r="AI730" s="13"/>
      <c r="AJ730" s="13"/>
      <c r="AK730" s="13"/>
      <c r="AL730" s="13"/>
      <c r="AM730" s="13"/>
      <c r="AN730" s="13"/>
    </row>
    <row r="731" spans="1:40" ht="14.4" x14ac:dyDescent="0.55000000000000004">
      <c r="A731" s="13"/>
      <c r="B731" s="11"/>
      <c r="C731" s="88">
        <v>2020</v>
      </c>
      <c r="D731" s="23">
        <f>SUM(E731:N731)</f>
        <v>3492245</v>
      </c>
      <c r="E731" s="147">
        <f>(824+190+413-2)*1000</f>
        <v>1425000</v>
      </c>
      <c r="F731" s="147">
        <f>(504+96+158-2)*1000</f>
        <v>756000</v>
      </c>
      <c r="G731" s="29">
        <f>0.8025*1138000</f>
        <v>913245</v>
      </c>
      <c r="H731" s="30">
        <v>0</v>
      </c>
      <c r="I731" s="29">
        <f>(0+0+0-0)*1000</f>
        <v>0</v>
      </c>
      <c r="J731" s="30">
        <v>0</v>
      </c>
      <c r="K731" s="29">
        <f>(580+149+174-141)*1000</f>
        <v>762000</v>
      </c>
      <c r="L731" s="29">
        <f>(-562+-187+390-7)*1000</f>
        <v>-366000</v>
      </c>
      <c r="M731" s="30">
        <v>0</v>
      </c>
      <c r="N731" s="24">
        <f>(-54-(-56))*1000</f>
        <v>2000</v>
      </c>
      <c r="O731" s="14">
        <v>1840000</v>
      </c>
      <c r="P731" s="13"/>
      <c r="Q731" s="13" t="str">
        <f>$A$724&amp;C731&amp;"INC"</f>
        <v>SRE2020INC</v>
      </c>
      <c r="R731" s="47">
        <f>IF(SUM(E731:F731)/D731&gt;1,1,SUM(E731:F731)/D731)</f>
        <v>0.62452662971813255</v>
      </c>
      <c r="S731" s="131">
        <f>E731*AI727/SUM($E731:$F731)</f>
        <v>0.56559404221027332</v>
      </c>
      <c r="T731" s="131">
        <f>(E731*AJ727+F731)/SUM($E731:$F731)</f>
        <v>0.43440595778972668</v>
      </c>
      <c r="U731" s="178">
        <f t="shared" si="441"/>
        <v>0.3532285409702372</v>
      </c>
      <c r="V731" s="178">
        <f t="shared" si="441"/>
        <v>0.27129808874789535</v>
      </c>
      <c r="W731" s="178"/>
      <c r="X731" s="178"/>
    </row>
    <row r="732" spans="1:40" x14ac:dyDescent="0.4">
      <c r="A732" s="13"/>
      <c r="B732" s="11"/>
      <c r="C732" s="12"/>
      <c r="D732" s="23"/>
      <c r="E732" s="29"/>
      <c r="F732" s="29"/>
      <c r="G732" s="29"/>
      <c r="H732" s="29"/>
      <c r="I732" s="29"/>
      <c r="J732" s="29"/>
      <c r="K732" s="29"/>
      <c r="L732" s="29"/>
      <c r="M732" s="29"/>
      <c r="N732" s="24"/>
      <c r="O732" s="151"/>
      <c r="P732" s="13"/>
      <c r="Q732" s="13"/>
      <c r="R732" s="13"/>
    </row>
    <row r="733" spans="1:40" ht="12.6" x14ac:dyDescent="0.45">
      <c r="A733" s="13"/>
      <c r="B733" s="11"/>
      <c r="C733" s="12">
        <v>2022</v>
      </c>
      <c r="D733" s="23">
        <f>SUM(E733:N733)</f>
        <v>78574000</v>
      </c>
      <c r="E733" s="29">
        <v>26422000</v>
      </c>
      <c r="F733" s="29">
        <v>22346000</v>
      </c>
      <c r="G733" s="29">
        <v>13781000</v>
      </c>
      <c r="H733" s="30">
        <v>0</v>
      </c>
      <c r="I733" s="29">
        <v>0</v>
      </c>
      <c r="J733" s="29">
        <v>0</v>
      </c>
      <c r="K733" s="29">
        <v>15760000</v>
      </c>
      <c r="L733" s="29">
        <v>1376000</v>
      </c>
      <c r="M733" s="30">
        <v>0</v>
      </c>
      <c r="N733" s="24">
        <v>-1111000</v>
      </c>
      <c r="O733" s="14">
        <v>0</v>
      </c>
      <c r="P733" s="13"/>
      <c r="Q733" s="13" t="str">
        <f>$A$724&amp;C733&amp;"ASSETS"</f>
        <v>SRE2022ASSETS</v>
      </c>
      <c r="R733" s="47">
        <f>IF(SUM(E733:G733)/D733&gt;1,1,SUM(E733:G733)/D733)</f>
        <v>0.79605212920304425</v>
      </c>
      <c r="S733" s="131">
        <f>SUM(E733,G733)*AC725/SUM($E733:$G733)</f>
        <v>0.52791331020940013</v>
      </c>
      <c r="T733" s="131">
        <f>(E733*AD725+F733)/SUM($E733:$F733)</f>
        <v>0.55500486421886108</v>
      </c>
      <c r="U733" s="178">
        <f t="shared" ref="U733:V735" si="442">IF(OR(ISBLANK($R733),ISBLANK(S733)),"NA",$R733*S733)</f>
        <v>0.42024651462682017</v>
      </c>
      <c r="V733" s="178">
        <f t="shared" si="442"/>
        <v>0.44181280387947081</v>
      </c>
    </row>
    <row r="734" spans="1:40" ht="14.4" x14ac:dyDescent="0.55000000000000004">
      <c r="A734" s="13"/>
      <c r="B734" s="11" t="s">
        <v>110</v>
      </c>
      <c r="C734" s="88">
        <v>2021</v>
      </c>
      <c r="D734" s="23">
        <f>SUM(E734:N734)</f>
        <v>83580982.5</v>
      </c>
      <c r="E734" s="143">
        <v>24058000</v>
      </c>
      <c r="F734" s="143">
        <v>20324000</v>
      </c>
      <c r="G734" s="29">
        <f>0.8025*30633000</f>
        <v>24582982.5</v>
      </c>
      <c r="H734" s="30">
        <v>0</v>
      </c>
      <c r="I734" s="143">
        <v>0</v>
      </c>
      <c r="J734" s="143">
        <v>0</v>
      </c>
      <c r="K734" s="143">
        <v>14408000</v>
      </c>
      <c r="L734" s="143">
        <v>1399000</v>
      </c>
      <c r="M734" s="30">
        <v>0</v>
      </c>
      <c r="N734" s="143">
        <v>-1191000</v>
      </c>
      <c r="O734" s="14">
        <v>0</v>
      </c>
      <c r="P734" s="13"/>
      <c r="Q734" s="13" t="str">
        <f>$A$724&amp;C734&amp;"ASSETS"</f>
        <v>SRE2021ASSETS</v>
      </c>
      <c r="R734" s="47">
        <f>IF(SUM(E734:G734)/D734&gt;1,1,SUM(E734:G734)/D734)</f>
        <v>0.82512768380055834</v>
      </c>
      <c r="S734" s="131">
        <f>SUM(E734,G734)*AC726/SUM($E734:$G734)</f>
        <v>0.59791578307396875</v>
      </c>
      <c r="T734" s="131">
        <f>(E734*AD726+F734)/SUM($E734:$F734)</f>
        <v>0.54046461259173784</v>
      </c>
      <c r="U734" s="178">
        <f t="shared" si="442"/>
        <v>0.49335686519562094</v>
      </c>
      <c r="V734" s="178">
        <f t="shared" si="442"/>
        <v>0.44595231396398671</v>
      </c>
      <c r="W734" s="178"/>
      <c r="X734" s="178"/>
    </row>
    <row r="735" spans="1:40" ht="14.4" x14ac:dyDescent="0.55000000000000004">
      <c r="C735" s="88">
        <v>2020</v>
      </c>
      <c r="D735" s="23">
        <f>SUM(E735:N735)</f>
        <v>77491530</v>
      </c>
      <c r="E735" s="147">
        <v>22311000</v>
      </c>
      <c r="F735" s="147">
        <v>18460000</v>
      </c>
      <c r="G735" s="29">
        <f>0.8025*29172000</f>
        <v>23410530</v>
      </c>
      <c r="H735" s="30">
        <v>0</v>
      </c>
      <c r="I735" s="147">
        <v>0</v>
      </c>
      <c r="J735" s="30">
        <v>0</v>
      </c>
      <c r="K735" s="147">
        <v>12772000</v>
      </c>
      <c r="L735" s="147">
        <v>1215000</v>
      </c>
      <c r="M735" s="30">
        <v>0</v>
      </c>
      <c r="N735" s="147">
        <v>-677000</v>
      </c>
      <c r="O735" s="14">
        <v>0</v>
      </c>
      <c r="P735" s="13"/>
      <c r="Q735" s="13" t="str">
        <f>$A$724&amp;C735&amp;"ASSETS"</f>
        <v>SRE2020ASSETS</v>
      </c>
      <c r="R735" s="47">
        <f>IF(SUM(E735:F735)/D735&gt;1,1,SUM(E735:F735)/D735)</f>
        <v>0.52613492081005497</v>
      </c>
      <c r="S735" s="131">
        <f>E735*AC727/SUM($E735:$F735)</f>
        <v>0.47574673770083331</v>
      </c>
      <c r="T735" s="131">
        <f>(E735*AD727+F735)/SUM($E735:$F735)</f>
        <v>0.52425326229916658</v>
      </c>
      <c r="U735" s="178">
        <f t="shared" si="442"/>
        <v>0.25030697216586995</v>
      </c>
      <c r="V735" s="178">
        <f t="shared" si="442"/>
        <v>0.27582794864418497</v>
      </c>
      <c r="W735" s="178"/>
      <c r="X735" s="178"/>
    </row>
    <row r="736" spans="1:40" x14ac:dyDescent="0.4">
      <c r="D736" s="184"/>
      <c r="E736" s="236"/>
      <c r="F736" s="236"/>
      <c r="G736" s="27"/>
      <c r="H736" s="30"/>
      <c r="I736" s="30"/>
      <c r="J736" s="30"/>
      <c r="K736" s="30"/>
      <c r="L736" s="30"/>
      <c r="M736" s="30"/>
    </row>
    <row r="737" spans="1:26" x14ac:dyDescent="0.4">
      <c r="E737" s="30"/>
      <c r="F737" s="30"/>
      <c r="G737" s="30"/>
      <c r="H737" s="30"/>
      <c r="I737" s="30"/>
      <c r="J737" s="30"/>
      <c r="K737" s="30"/>
      <c r="L737" s="30"/>
      <c r="M737" s="30"/>
    </row>
    <row r="739" spans="1:26" x14ac:dyDescent="0.4">
      <c r="A739" s="10" t="s">
        <v>87</v>
      </c>
      <c r="B739" s="11"/>
      <c r="C739" s="12"/>
      <c r="D739" s="13"/>
      <c r="E739" s="24"/>
      <c r="F739" s="24"/>
      <c r="G739" s="24"/>
      <c r="H739" s="24"/>
      <c r="I739" s="24"/>
      <c r="J739" s="24"/>
      <c r="K739" s="14"/>
      <c r="L739" s="14"/>
      <c r="M739" s="14"/>
      <c r="N739" s="13"/>
      <c r="O739" s="13"/>
      <c r="P739" s="13"/>
      <c r="Q739" s="13"/>
      <c r="R739" s="13"/>
      <c r="S739" s="13"/>
      <c r="T739" s="13"/>
      <c r="U739" s="13"/>
      <c r="V739" s="13"/>
      <c r="W739" s="13"/>
      <c r="X739" s="13"/>
    </row>
    <row r="740" spans="1:26" x14ac:dyDescent="0.4">
      <c r="A740" s="13" t="s">
        <v>241</v>
      </c>
      <c r="B740" s="11"/>
      <c r="C740" s="12"/>
      <c r="D740" s="13"/>
      <c r="E740" s="24"/>
      <c r="F740" s="24"/>
      <c r="G740" s="24"/>
      <c r="H740" s="24"/>
      <c r="I740" s="24"/>
      <c r="J740" s="24"/>
      <c r="K740" s="14"/>
      <c r="L740" s="14"/>
      <c r="M740" s="14"/>
      <c r="N740" s="13"/>
      <c r="O740" s="13"/>
      <c r="P740" s="13"/>
      <c r="Q740" s="13"/>
      <c r="R740" s="13"/>
      <c r="S740" s="13"/>
      <c r="T740" s="13"/>
      <c r="U740" s="13"/>
      <c r="V740" s="13"/>
      <c r="W740" s="13"/>
      <c r="X740" s="13"/>
    </row>
    <row r="741" spans="1:26" ht="36.9" x14ac:dyDescent="0.4">
      <c r="A741" s="10" t="s">
        <v>88</v>
      </c>
      <c r="B741" s="15" t="s">
        <v>187</v>
      </c>
      <c r="C741" s="12"/>
      <c r="D741" s="22" t="s">
        <v>96</v>
      </c>
      <c r="E741" s="27" t="s">
        <v>242</v>
      </c>
      <c r="F741" s="27" t="s">
        <v>243</v>
      </c>
      <c r="G741" s="27" t="s">
        <v>101</v>
      </c>
      <c r="H741" s="27" t="s">
        <v>244</v>
      </c>
      <c r="I741" s="27" t="s">
        <v>189</v>
      </c>
      <c r="J741" s="27" t="s">
        <v>101</v>
      </c>
      <c r="K741" s="38"/>
      <c r="L741" s="14"/>
      <c r="M741" s="14"/>
      <c r="N741" s="13"/>
      <c r="O741" s="13"/>
      <c r="P741" s="13"/>
      <c r="Q741" s="20"/>
      <c r="R741" s="21" t="s">
        <v>102</v>
      </c>
      <c r="S741" s="21" t="s">
        <v>103</v>
      </c>
      <c r="T741" s="21" t="s">
        <v>104</v>
      </c>
      <c r="U741" s="21" t="s">
        <v>105</v>
      </c>
      <c r="V741" s="21" t="s">
        <v>106</v>
      </c>
      <c r="W741" s="22"/>
      <c r="X741" s="22"/>
    </row>
    <row r="742" spans="1:26" x14ac:dyDescent="0.4">
      <c r="A742" s="10"/>
      <c r="B742" s="11"/>
      <c r="C742" s="12">
        <v>2022</v>
      </c>
      <c r="D742" s="23">
        <f>SUM(E742:J742)</f>
        <v>29279000</v>
      </c>
      <c r="E742" s="27">
        <v>20408000</v>
      </c>
      <c r="F742" s="27">
        <v>3369000</v>
      </c>
      <c r="G742" s="27">
        <v>-904000</v>
      </c>
      <c r="H742" s="27">
        <v>5962000</v>
      </c>
      <c r="I742" s="27">
        <v>593000</v>
      </c>
      <c r="J742" s="27">
        <v>-149000</v>
      </c>
      <c r="K742" s="38"/>
      <c r="L742" s="14"/>
      <c r="M742" s="14"/>
      <c r="N742" s="13"/>
      <c r="O742" s="13"/>
      <c r="P742" s="13"/>
      <c r="Q742" s="13" t="str">
        <f>$A$741&amp;C742&amp;"REV"</f>
        <v>SO2022REV</v>
      </c>
      <c r="R742" s="47">
        <f>IF((E742+H742)/D742&gt;1,1,(E742+H742)/D742)</f>
        <v>0.90064551384951674</v>
      </c>
      <c r="S742" s="47">
        <f>E742/(E742+H742)</f>
        <v>0.77390974592339778</v>
      </c>
      <c r="T742" s="47">
        <f>H742/(E742+H742)</f>
        <v>0.22609025407660219</v>
      </c>
      <c r="U742" s="25">
        <f t="shared" ref="U742:V744" si="443">IF(OR(ISBLANK($R742),ISBLANK(S742)),"NA",$R742*S742)</f>
        <v>0.69701834079032754</v>
      </c>
      <c r="V742" s="25">
        <f t="shared" si="443"/>
        <v>0.20362717305918918</v>
      </c>
      <c r="W742" s="22"/>
      <c r="X742" s="22"/>
    </row>
    <row r="743" spans="1:26" ht="14.4" x14ac:dyDescent="0.55000000000000004">
      <c r="A743" s="13"/>
      <c r="B743" s="11" t="s">
        <v>107</v>
      </c>
      <c r="C743" s="88">
        <v>2021</v>
      </c>
      <c r="D743" s="23">
        <f>SUM(E743:J743)</f>
        <v>23113000</v>
      </c>
      <c r="E743" s="150">
        <v>16614000</v>
      </c>
      <c r="F743" s="150">
        <v>2216000</v>
      </c>
      <c r="G743" s="150">
        <v>-530000</v>
      </c>
      <c r="H743" s="150">
        <v>4380000</v>
      </c>
      <c r="I743" s="150">
        <v>582000</v>
      </c>
      <c r="J743" s="150">
        <v>-149000</v>
      </c>
      <c r="K743" s="38"/>
      <c r="L743" s="14"/>
      <c r="M743" s="14"/>
      <c r="N743" s="13"/>
      <c r="O743" s="13"/>
      <c r="P743" s="13"/>
      <c r="Q743" s="13" t="str">
        <f>$A$741&amp;C743&amp;"REV"</f>
        <v>SO2021REV</v>
      </c>
      <c r="R743" s="47">
        <f>IF((E743+H743)/D743&gt;1,1,(E743+H743)/D743)</f>
        <v>0.9083199930774889</v>
      </c>
      <c r="S743" s="47">
        <f>E743/(E743+H743)</f>
        <v>0.79136896256073164</v>
      </c>
      <c r="T743" s="47">
        <f>H743/(E743+H743)</f>
        <v>0.20863103743926836</v>
      </c>
      <c r="U743" s="25">
        <f t="shared" si="443"/>
        <v>0.71881625059490328</v>
      </c>
      <c r="V743" s="25">
        <f t="shared" si="443"/>
        <v>0.18950374248258556</v>
      </c>
      <c r="W743" s="25"/>
      <c r="X743" s="25"/>
    </row>
    <row r="744" spans="1:26" ht="14.4" x14ac:dyDescent="0.55000000000000004">
      <c r="A744" s="13"/>
      <c r="B744" s="13"/>
      <c r="C744" s="136">
        <v>2020</v>
      </c>
      <c r="D744" s="23">
        <f>SUM(E744:J744)</f>
        <v>20375000</v>
      </c>
      <c r="E744" s="147">
        <v>15135000</v>
      </c>
      <c r="F744" s="147">
        <v>1733000</v>
      </c>
      <c r="G744" s="147">
        <v>-371000</v>
      </c>
      <c r="H744" s="147">
        <v>3434000</v>
      </c>
      <c r="I744" s="147">
        <v>596000</v>
      </c>
      <c r="J744" s="147">
        <v>-152000</v>
      </c>
      <c r="K744" s="38"/>
      <c r="L744" s="14"/>
      <c r="M744" s="14"/>
      <c r="N744" s="13"/>
      <c r="O744" s="13"/>
      <c r="P744" s="13"/>
      <c r="Q744" s="13" t="str">
        <f>$A$741&amp;C744&amp;"REV"</f>
        <v>SO2020REV</v>
      </c>
      <c r="R744" s="47">
        <f>IF((E744+H744)/D744&gt;1,1,(E744+H744)/D744)</f>
        <v>0.91136196319018403</v>
      </c>
      <c r="S744" s="47">
        <f>E744/(E744+H744)</f>
        <v>0.81506812429317677</v>
      </c>
      <c r="T744" s="47">
        <f>H744/(E744+H744)</f>
        <v>0.18493187570682321</v>
      </c>
      <c r="U744" s="25">
        <f t="shared" si="443"/>
        <v>0.74282208588957055</v>
      </c>
      <c r="V744" s="25">
        <f t="shared" si="443"/>
        <v>0.16853987730061351</v>
      </c>
      <c r="W744" s="178">
        <f>AVERAGE(T742:T744)</f>
        <v>0.20655105574089794</v>
      </c>
      <c r="X744" s="25"/>
    </row>
    <row r="745" spans="1:26" x14ac:dyDescent="0.4">
      <c r="A745" s="13"/>
      <c r="B745" s="11"/>
      <c r="C745" s="12"/>
      <c r="D745" s="13"/>
      <c r="E745" s="29"/>
      <c r="F745" s="29"/>
      <c r="G745" s="29"/>
      <c r="H745" s="29"/>
      <c r="I745" s="29"/>
      <c r="J745" s="29"/>
      <c r="K745" s="38"/>
      <c r="L745" s="14"/>
      <c r="M745" s="14"/>
      <c r="N745" s="13"/>
      <c r="O745" s="13"/>
      <c r="P745" s="13"/>
      <c r="Q745" s="13"/>
      <c r="R745" s="13"/>
      <c r="S745" s="13"/>
      <c r="T745" s="13"/>
      <c r="U745" s="13"/>
      <c r="V745" s="13"/>
      <c r="X745" s="13"/>
      <c r="Z745" s="179"/>
    </row>
    <row r="746" spans="1:26" x14ac:dyDescent="0.4">
      <c r="A746" s="13"/>
      <c r="B746" s="11"/>
      <c r="C746" s="12">
        <v>2022</v>
      </c>
      <c r="D746" s="23">
        <f>SUM(E746:J746)</f>
        <v>6130000</v>
      </c>
      <c r="E746" s="29">
        <f>(3318+828+929-0-44)*1000</f>
        <v>5031000</v>
      </c>
      <c r="F746" s="29">
        <f>(354+20+138-0-3)*1000</f>
        <v>509000</v>
      </c>
      <c r="G746" s="27">
        <v>0</v>
      </c>
      <c r="H746" s="29">
        <f>(572+180+263-148-3)*1000</f>
        <v>864000</v>
      </c>
      <c r="I746" s="29">
        <f>((-711)+(-233)+693-3-16)*1000</f>
        <v>-270000</v>
      </c>
      <c r="J746" s="29">
        <f>((-9)+0+(-2)-0-(-7))*1000</f>
        <v>-4000</v>
      </c>
      <c r="K746" s="38"/>
      <c r="L746" s="14"/>
      <c r="M746" s="14"/>
      <c r="N746" s="13"/>
      <c r="O746" s="13"/>
      <c r="P746" s="13"/>
      <c r="Q746" s="13" t="str">
        <f>$A$741&amp;C746&amp;"INC"</f>
        <v>SO2022INC</v>
      </c>
      <c r="R746" s="47">
        <f>IF((E746+H746)/D746&gt;1,1,(E746+H746)/D746)</f>
        <v>0.96166394779771613</v>
      </c>
      <c r="S746" s="47">
        <f>E746/(E746+H746)</f>
        <v>0.85343511450381682</v>
      </c>
      <c r="T746" s="47">
        <f>H746/(E746+H746)</f>
        <v>0.14656488549618321</v>
      </c>
      <c r="U746" s="25">
        <f t="shared" ref="U746:V748" si="444">IF(OR(ISBLANK($R746),ISBLANK(S746)),"NA",$R746*S746)</f>
        <v>0.82071778140293639</v>
      </c>
      <c r="V746" s="25">
        <f t="shared" si="444"/>
        <v>0.14094616639477978</v>
      </c>
      <c r="X746" s="13"/>
      <c r="Z746" s="179"/>
    </row>
    <row r="747" spans="1:26" x14ac:dyDescent="0.4">
      <c r="A747" s="13"/>
      <c r="B747" s="11" t="s">
        <v>109</v>
      </c>
      <c r="C747" s="88">
        <v>2021</v>
      </c>
      <c r="D747" s="23">
        <f>SUM(E747:J747)</f>
        <v>4399000</v>
      </c>
      <c r="E747" s="29">
        <f>(1981+232+821-1-20)*1000</f>
        <v>3013000</v>
      </c>
      <c r="F747" s="29">
        <f>(266+(-13)+147-0-1)*1000</f>
        <v>399000</v>
      </c>
      <c r="G747" s="27">
        <v>0</v>
      </c>
      <c r="H747" s="29">
        <f>(539+275+238-50-0)*1000</f>
        <v>1002000</v>
      </c>
      <c r="I747" s="29">
        <f>((-384)+(-227)+631-24-4)*1000</f>
        <v>-8000</v>
      </c>
      <c r="J747" s="29">
        <f>((-9)+0+0-1-(-3))*1000</f>
        <v>-7000</v>
      </c>
      <c r="K747" s="38"/>
      <c r="L747" s="14"/>
      <c r="M747" s="14"/>
      <c r="N747" s="13"/>
      <c r="O747" s="13"/>
      <c r="P747" s="13"/>
      <c r="Q747" s="13" t="str">
        <f>$A$741&amp;C747&amp;"INC"</f>
        <v>SO2021INC</v>
      </c>
      <c r="R747" s="47">
        <f>IF((E747+H747)/D747&gt;1,1,(E747+H747)/D747)</f>
        <v>0.91270743350761541</v>
      </c>
      <c r="S747" s="47">
        <f>E747/(E747+H747)</f>
        <v>0.7504358655043587</v>
      </c>
      <c r="T747" s="47">
        <f>H747/(E747+H747)</f>
        <v>0.24956413449564135</v>
      </c>
      <c r="U747" s="25">
        <f t="shared" si="444"/>
        <v>0.68492839281654927</v>
      </c>
      <c r="V747" s="25">
        <f t="shared" si="444"/>
        <v>0.22777904069106616</v>
      </c>
      <c r="W747" s="178"/>
      <c r="X747" s="25"/>
    </row>
    <row r="748" spans="1:26" x14ac:dyDescent="0.4">
      <c r="A748" s="13"/>
      <c r="B748" s="13"/>
      <c r="C748" s="136">
        <v>2020</v>
      </c>
      <c r="D748" s="23">
        <f>SUM(E748:J748)</f>
        <v>5143000</v>
      </c>
      <c r="E748" s="29">
        <f>(2877+514+825-(0)-26)*1000</f>
        <v>4190000</v>
      </c>
      <c r="F748" s="29">
        <f>(238+3+151-0-4)*1000</f>
        <v>388000</v>
      </c>
      <c r="G748" s="27">
        <v>0</v>
      </c>
      <c r="H748" s="29">
        <f>(590+173+231-141-5)*1000</f>
        <v>848000</v>
      </c>
      <c r="I748" s="29">
        <f>(-592+(-297)+614-12-6)*1000</f>
        <v>-293000</v>
      </c>
      <c r="J748" s="29">
        <f>(6+0+0-0-(-4))*1000</f>
        <v>10000</v>
      </c>
      <c r="K748" s="38"/>
      <c r="L748" s="14"/>
      <c r="M748" s="14"/>
      <c r="N748" s="13"/>
      <c r="O748" s="13"/>
      <c r="P748" s="13"/>
      <c r="Q748" s="13" t="str">
        <f>$A$741&amp;C748&amp;"INC"</f>
        <v>SO2020INC</v>
      </c>
      <c r="R748" s="47">
        <f>IF((E748+H748)/D748&gt;1,1,(E748+H748)/D748)</f>
        <v>0.97958390044720978</v>
      </c>
      <c r="S748" s="47">
        <f>E748/(E748+H748)</f>
        <v>0.83167923779277486</v>
      </c>
      <c r="T748" s="47">
        <f>H748/(E748+H748)</f>
        <v>0.16832076220722508</v>
      </c>
      <c r="U748" s="25">
        <f t="shared" si="444"/>
        <v>0.81469959167800887</v>
      </c>
      <c r="V748" s="25">
        <f t="shared" si="444"/>
        <v>0.16488430876920085</v>
      </c>
      <c r="W748" s="178">
        <f>AVERAGE(T746:T748)</f>
        <v>0.18814992739968325</v>
      </c>
      <c r="X748" s="25"/>
    </row>
    <row r="749" spans="1:26" x14ac:dyDescent="0.4">
      <c r="A749" s="13"/>
      <c r="B749" s="11"/>
      <c r="C749" s="12"/>
      <c r="D749" s="46"/>
      <c r="E749" s="29"/>
      <c r="F749" s="29"/>
      <c r="G749" s="29"/>
      <c r="H749" s="29"/>
      <c r="I749" s="29"/>
      <c r="J749" s="29"/>
      <c r="K749" s="38"/>
      <c r="L749" s="14"/>
      <c r="M749" s="14"/>
      <c r="N749" s="13"/>
      <c r="O749" s="13"/>
      <c r="P749" s="13"/>
      <c r="Q749" s="13"/>
      <c r="R749" s="13"/>
      <c r="S749" s="13"/>
      <c r="T749" s="13"/>
      <c r="U749" s="13"/>
      <c r="V749" s="13"/>
      <c r="W749" s="13"/>
      <c r="X749" s="13"/>
      <c r="Z749" s="179"/>
    </row>
    <row r="750" spans="1:26" x14ac:dyDescent="0.4">
      <c r="A750" s="13"/>
      <c r="B750" s="11"/>
      <c r="C750" s="12">
        <v>2022</v>
      </c>
      <c r="D750" s="23">
        <f>SUM(E750:J750)</f>
        <v>134891000</v>
      </c>
      <c r="E750" s="29">
        <v>95861000</v>
      </c>
      <c r="F750" s="29">
        <v>13081000</v>
      </c>
      <c r="G750" s="29">
        <v>-659000</v>
      </c>
      <c r="H750" s="29">
        <v>24621000</v>
      </c>
      <c r="I750" s="29">
        <v>2665000</v>
      </c>
      <c r="J750" s="29">
        <v>-678000</v>
      </c>
      <c r="K750" s="38"/>
      <c r="L750" s="14"/>
      <c r="M750" s="14"/>
      <c r="N750" s="13"/>
      <c r="O750" s="13"/>
      <c r="P750" s="13"/>
      <c r="Q750" s="13" t="str">
        <f>$A$741&amp;C750&amp;"ASSETS"</f>
        <v>SO2022ASSETS</v>
      </c>
      <c r="R750" s="47">
        <f>IF((E750+H750)/D750&gt;1,1,(E750+H750)/D750)</f>
        <v>0.89318041974631368</v>
      </c>
      <c r="S750" s="47">
        <f>E750/(E750+H750)</f>
        <v>0.79564582261250638</v>
      </c>
      <c r="T750" s="47">
        <f>H750/(E750+H750)</f>
        <v>0.20435417738749356</v>
      </c>
      <c r="U750" s="25">
        <f t="shared" ref="U750:V752" si="445">IF(OR(ISBLANK($R750),ISBLANK(S750)),"NA",$R750*S750)</f>
        <v>0.71065526981043947</v>
      </c>
      <c r="V750" s="25">
        <f t="shared" si="445"/>
        <v>0.18252514993587415</v>
      </c>
      <c r="W750" s="13"/>
      <c r="X750" s="13"/>
      <c r="Z750" s="179"/>
    </row>
    <row r="751" spans="1:26" ht="14.4" x14ac:dyDescent="0.55000000000000004">
      <c r="A751" s="13"/>
      <c r="B751" s="11" t="s">
        <v>110</v>
      </c>
      <c r="C751" s="88">
        <v>2021</v>
      </c>
      <c r="D751" s="23">
        <f>SUM(E751:J751)</f>
        <v>129534000</v>
      </c>
      <c r="E751" s="143">
        <v>89051000</v>
      </c>
      <c r="F751" s="143">
        <v>13390000</v>
      </c>
      <c r="G751" s="143">
        <v>-667000</v>
      </c>
      <c r="H751" s="143">
        <v>25560000</v>
      </c>
      <c r="I751" s="143">
        <v>2975000</v>
      </c>
      <c r="J751" s="143">
        <v>-775000</v>
      </c>
      <c r="K751" s="38"/>
      <c r="L751" s="14"/>
      <c r="M751" s="14"/>
      <c r="N751" s="13"/>
      <c r="O751" s="13"/>
      <c r="P751" s="13"/>
      <c r="Q751" s="13" t="str">
        <f>$A$741&amp;C751&amp;"ASSETS"</f>
        <v>SO2021ASSETS</v>
      </c>
      <c r="R751" s="47">
        <f>IF((E751+H751)/D751&gt;1,1,(E751+H751)/D751)</f>
        <v>0.88479472570908024</v>
      </c>
      <c r="S751" s="47">
        <f>E751/(E751+H751)</f>
        <v>0.77698475713500448</v>
      </c>
      <c r="T751" s="47">
        <f>H751/(E751+H751)</f>
        <v>0.22301524286499549</v>
      </c>
      <c r="U751" s="25">
        <f t="shared" si="445"/>
        <v>0.68747201506940259</v>
      </c>
      <c r="V751" s="25">
        <f t="shared" si="445"/>
        <v>0.1973227106396776</v>
      </c>
      <c r="W751" s="25"/>
      <c r="X751" s="25"/>
    </row>
    <row r="752" spans="1:26" ht="14.4" x14ac:dyDescent="0.55000000000000004">
      <c r="C752" s="136">
        <v>2020</v>
      </c>
      <c r="D752" s="23">
        <f>SUM(E752:J752)</f>
        <v>122935000</v>
      </c>
      <c r="E752" s="147">
        <v>85486000</v>
      </c>
      <c r="F752" s="147">
        <v>13235000</v>
      </c>
      <c r="G752" s="147">
        <v>-680000</v>
      </c>
      <c r="H752" s="147">
        <v>22630000</v>
      </c>
      <c r="I752" s="147">
        <v>3168000</v>
      </c>
      <c r="J752" s="147">
        <v>-904000</v>
      </c>
      <c r="K752" s="38"/>
      <c r="L752" s="14"/>
      <c r="M752" s="14"/>
      <c r="N752" s="13"/>
      <c r="O752" s="13"/>
      <c r="P752" s="13"/>
      <c r="Q752" s="13" t="str">
        <f>$A$741&amp;C752&amp;"ASSETS"</f>
        <v>SO2020ASSETS</v>
      </c>
      <c r="R752" s="47">
        <f>IF((E752+H752)/D752&gt;1,1,(E752+H752)/D752)</f>
        <v>0.87945662341887987</v>
      </c>
      <c r="S752" s="47">
        <f>E752/(E752+H752)</f>
        <v>0.79068777979207516</v>
      </c>
      <c r="T752" s="47">
        <f>H752/(E752+H752)</f>
        <v>0.20931222020792481</v>
      </c>
      <c r="U752" s="25">
        <f t="shared" si="445"/>
        <v>0.69537560499450923</v>
      </c>
      <c r="V752" s="25">
        <f t="shared" si="445"/>
        <v>0.18408101842437058</v>
      </c>
      <c r="W752" s="25"/>
      <c r="X752" s="25"/>
    </row>
    <row r="753" spans="1:26" x14ac:dyDescent="0.4">
      <c r="D753" s="23"/>
      <c r="E753" s="29"/>
      <c r="F753" s="29"/>
      <c r="G753" s="29"/>
      <c r="H753" s="29"/>
      <c r="I753" s="29"/>
      <c r="J753" s="29"/>
      <c r="K753" s="38"/>
      <c r="L753" s="14"/>
      <c r="M753" s="14"/>
      <c r="N753" s="13"/>
      <c r="O753" s="13"/>
      <c r="P753" s="13"/>
      <c r="Q753" s="13"/>
      <c r="R753" s="47"/>
      <c r="S753" s="47"/>
      <c r="T753" s="47"/>
      <c r="U753" s="25"/>
      <c r="V753" s="25"/>
      <c r="W753" s="25"/>
      <c r="X753" s="25"/>
    </row>
    <row r="754" spans="1:26" x14ac:dyDescent="0.4">
      <c r="D754" s="23"/>
      <c r="E754" s="29"/>
      <c r="F754" s="29"/>
      <c r="G754" s="29"/>
      <c r="H754" s="29"/>
      <c r="I754" s="29"/>
      <c r="J754" s="29"/>
      <c r="K754" s="38"/>
      <c r="L754" s="14"/>
      <c r="M754" s="14"/>
      <c r="N754" s="13"/>
      <c r="O754" s="13"/>
      <c r="P754" s="13"/>
      <c r="Q754" s="13"/>
      <c r="R754" s="47"/>
      <c r="S754" s="47"/>
      <c r="T754" s="47"/>
      <c r="U754" s="25"/>
      <c r="V754" s="25"/>
      <c r="W754" s="25"/>
      <c r="X754" s="25"/>
    </row>
    <row r="755" spans="1:26" x14ac:dyDescent="0.4">
      <c r="D755" s="23"/>
      <c r="E755" s="29"/>
      <c r="F755" s="29"/>
      <c r="G755" s="29"/>
      <c r="H755" s="29"/>
      <c r="I755" s="29"/>
      <c r="J755" s="29"/>
      <c r="K755" s="38"/>
      <c r="L755" s="14"/>
      <c r="M755" s="14"/>
      <c r="N755" s="13"/>
      <c r="O755" s="13"/>
      <c r="P755" s="13"/>
      <c r="Q755" s="13"/>
      <c r="R755" s="47"/>
      <c r="S755" s="47"/>
      <c r="T755" s="47"/>
      <c r="U755" s="25"/>
      <c r="V755" s="25"/>
      <c r="W755" s="25"/>
      <c r="X755" s="25"/>
    </row>
    <row r="756" spans="1:26" x14ac:dyDescent="0.4">
      <c r="A756" s="103" t="s">
        <v>481</v>
      </c>
      <c r="B756" s="104"/>
      <c r="C756" s="12"/>
      <c r="D756" s="13"/>
      <c r="E756" s="24"/>
      <c r="F756" s="24"/>
      <c r="G756" s="24"/>
      <c r="H756" s="24"/>
      <c r="I756" s="24"/>
      <c r="J756" s="24"/>
      <c r="K756" s="14"/>
      <c r="L756" s="14"/>
      <c r="M756" s="14"/>
      <c r="N756" s="13"/>
      <c r="O756" s="13"/>
      <c r="P756" s="13"/>
      <c r="Q756" s="13"/>
      <c r="R756" s="13"/>
    </row>
    <row r="757" spans="1:26" x14ac:dyDescent="0.4">
      <c r="A757" s="15" t="s">
        <v>482</v>
      </c>
      <c r="B757" s="104"/>
      <c r="C757" s="12"/>
      <c r="D757" s="13"/>
      <c r="E757" s="24"/>
      <c r="F757" s="24"/>
      <c r="G757" s="24"/>
      <c r="H757" s="24"/>
      <c r="I757" s="24"/>
      <c r="J757" s="24"/>
      <c r="K757" s="14"/>
      <c r="L757" s="14"/>
      <c r="M757" s="14"/>
      <c r="N757" s="13"/>
      <c r="O757" s="13"/>
      <c r="P757" s="13"/>
      <c r="Q757" s="13"/>
      <c r="R757" s="13"/>
    </row>
    <row r="758" spans="1:26" ht="36.9" x14ac:dyDescent="0.4">
      <c r="A758" s="10" t="s">
        <v>483</v>
      </c>
      <c r="B758" s="15" t="s">
        <v>187</v>
      </c>
      <c r="C758" s="12"/>
      <c r="D758" s="22" t="s">
        <v>96</v>
      </c>
      <c r="E758" s="33" t="s">
        <v>141</v>
      </c>
      <c r="F758" s="33" t="s">
        <v>149</v>
      </c>
      <c r="G758" s="33" t="s">
        <v>130</v>
      </c>
      <c r="H758" s="33"/>
      <c r="I758" s="33"/>
      <c r="J758" s="33"/>
      <c r="K758" s="33"/>
      <c r="L758" s="33"/>
      <c r="M758" s="26"/>
      <c r="N758" s="13"/>
      <c r="O758" s="13"/>
      <c r="P758" s="13"/>
      <c r="Q758" s="20"/>
      <c r="R758" s="21" t="s">
        <v>102</v>
      </c>
      <c r="S758" s="21" t="s">
        <v>103</v>
      </c>
      <c r="T758" s="21" t="s">
        <v>104</v>
      </c>
      <c r="U758" s="21" t="s">
        <v>105</v>
      </c>
      <c r="V758" s="21" t="s">
        <v>106</v>
      </c>
      <c r="W758" s="22"/>
      <c r="X758" s="22"/>
      <c r="Y758" s="13"/>
      <c r="Z758" s="105"/>
    </row>
    <row r="759" spans="1:26" x14ac:dyDescent="0.4">
      <c r="A759" s="10"/>
      <c r="B759" s="11"/>
      <c r="C759" s="12">
        <v>2022</v>
      </c>
      <c r="D759" s="23">
        <f>SUM(E759:M759)</f>
        <v>4632000</v>
      </c>
      <c r="E759" s="35">
        <v>2979000</v>
      </c>
      <c r="F759" s="35">
        <v>1653000</v>
      </c>
      <c r="G759" s="35">
        <v>0</v>
      </c>
      <c r="H759" s="35"/>
      <c r="I759" s="35"/>
      <c r="J759" s="35"/>
      <c r="K759" s="35"/>
      <c r="L759" s="35"/>
      <c r="M759" s="26"/>
      <c r="N759" s="13"/>
      <c r="O759" s="13"/>
      <c r="P759" s="13"/>
      <c r="Q759" s="13" t="str">
        <f>$A$758&amp;C759&amp;"REV"</f>
        <v>UTL2022REV</v>
      </c>
      <c r="R759" s="47">
        <f>IF(SUM(E759:I759)/D759&gt;1,1,SUM(E759:I759)/D759)</f>
        <v>1</v>
      </c>
      <c r="S759" s="47">
        <f>E759/(E759+F759)</f>
        <v>0.64313471502590669</v>
      </c>
      <c r="T759" s="47">
        <f>F759/(E759+F759)</f>
        <v>0.35686528497409326</v>
      </c>
      <c r="U759" s="25">
        <f>E759/D759</f>
        <v>0.64313471502590669</v>
      </c>
      <c r="V759" s="25">
        <f>F759/D759</f>
        <v>0.35686528497409326</v>
      </c>
      <c r="W759" s="22"/>
      <c r="X759" s="22"/>
      <c r="Y759" s="13"/>
      <c r="Z759" s="237"/>
    </row>
    <row r="760" spans="1:26" x14ac:dyDescent="0.4">
      <c r="A760" s="13"/>
      <c r="B760" s="11" t="s">
        <v>107</v>
      </c>
      <c r="C760" s="88">
        <v>2021</v>
      </c>
      <c r="D760" s="23">
        <f>SUM(E760:M760)</f>
        <v>4733000</v>
      </c>
      <c r="E760" s="35">
        <v>2485000</v>
      </c>
      <c r="F760" s="35">
        <v>2248000</v>
      </c>
      <c r="G760" s="35">
        <v>0</v>
      </c>
      <c r="H760" s="35"/>
      <c r="I760" s="35"/>
      <c r="J760" s="35"/>
      <c r="K760" s="35"/>
      <c r="L760" s="35"/>
      <c r="M760" s="141"/>
      <c r="N760" s="13"/>
      <c r="O760" s="13"/>
      <c r="P760" s="13"/>
      <c r="Q760" s="13" t="str">
        <f>$A$758&amp;C760&amp;"REV"</f>
        <v>UTL2021REV</v>
      </c>
      <c r="R760" s="47">
        <f>IF(SUM(E760:I760)/D760&gt;1,1,SUM(E760:I760)/D760)</f>
        <v>1</v>
      </c>
      <c r="S760" s="47">
        <f t="shared" ref="S760:S761" si="446">E760/(E760+F760)</f>
        <v>0.52503697443481934</v>
      </c>
      <c r="T760" s="47">
        <f t="shared" ref="T760:T761" si="447">F760/(E760+F760)</f>
        <v>0.47496302556518066</v>
      </c>
      <c r="U760" s="25">
        <f t="shared" ref="U760:U761" si="448">E760/D760</f>
        <v>0.52503697443481934</v>
      </c>
      <c r="V760" s="25">
        <f t="shared" ref="V760:V761" si="449">F760/D760</f>
        <v>0.47496302556518066</v>
      </c>
      <c r="W760" s="25"/>
      <c r="X760" s="25"/>
      <c r="Y760" s="13"/>
      <c r="Z760" s="209"/>
    </row>
    <row r="761" spans="1:26" x14ac:dyDescent="0.4">
      <c r="A761" s="13"/>
      <c r="B761" s="13"/>
      <c r="C761" s="136">
        <v>2020</v>
      </c>
      <c r="D761" s="23">
        <f>SUM(E761:M761)</f>
        <v>4186000</v>
      </c>
      <c r="E761" s="35">
        <v>2272000</v>
      </c>
      <c r="F761" s="35">
        <v>1914000</v>
      </c>
      <c r="G761" s="35">
        <v>0</v>
      </c>
      <c r="H761" s="35"/>
      <c r="I761" s="35"/>
      <c r="J761" s="35"/>
      <c r="K761" s="35"/>
      <c r="L761" s="35"/>
      <c r="M761" s="141"/>
      <c r="N761" s="13"/>
      <c r="O761" s="13"/>
      <c r="P761" s="13"/>
      <c r="Q761" s="13" t="str">
        <f>$A$758&amp;C761&amp;"REV"</f>
        <v>UTL2020REV</v>
      </c>
      <c r="R761" s="47">
        <f>IF(SUM(E761:I761)/D761&gt;1,1,SUM(E761:I761)/D761)</f>
        <v>1</v>
      </c>
      <c r="S761" s="47">
        <f t="shared" si="446"/>
        <v>0.54276158623984716</v>
      </c>
      <c r="T761" s="47">
        <f t="shared" si="447"/>
        <v>0.4572384137601529</v>
      </c>
      <c r="U761" s="25">
        <f t="shared" si="448"/>
        <v>0.54276158623984716</v>
      </c>
      <c r="V761" s="25">
        <f t="shared" si="449"/>
        <v>0.4572384137601529</v>
      </c>
      <c r="W761" s="178">
        <f>AVERAGE(T759:T761)</f>
        <v>0.42968890809980892</v>
      </c>
      <c r="X761" s="25"/>
      <c r="Y761" s="13"/>
      <c r="Z761" s="209"/>
    </row>
    <row r="762" spans="1:26" x14ac:dyDescent="0.4">
      <c r="A762" s="13"/>
      <c r="B762" s="11"/>
      <c r="C762" s="12"/>
      <c r="D762" s="13"/>
      <c r="E762" s="29"/>
      <c r="F762" s="29"/>
      <c r="G762" s="29"/>
      <c r="H762" s="29"/>
      <c r="I762" s="29"/>
      <c r="J762" s="29"/>
      <c r="K762" s="38"/>
      <c r="L762" s="38"/>
      <c r="M762" s="141"/>
      <c r="N762" s="13"/>
      <c r="O762" s="13"/>
      <c r="P762" s="13"/>
      <c r="Q762" s="13"/>
      <c r="R762" s="13"/>
    </row>
    <row r="763" spans="1:26" x14ac:dyDescent="0.4">
      <c r="A763" s="13"/>
      <c r="B763" s="11"/>
      <c r="C763" s="12">
        <v>2022</v>
      </c>
      <c r="D763" s="23">
        <f>SUM(E763:M763)</f>
        <v>80100</v>
      </c>
      <c r="E763" s="36">
        <f>(15.7+3.1+9.1-0.9)*1000</f>
        <v>27000</v>
      </c>
      <c r="F763" s="36">
        <f>(26.5+8.2+18.8-1)*1000</f>
        <v>52500</v>
      </c>
      <c r="G763" s="29">
        <f>((-0.8)+(-0.1)+2.4-0.9)*1000</f>
        <v>600</v>
      </c>
      <c r="H763" s="29"/>
      <c r="I763" s="29"/>
      <c r="J763" s="29"/>
      <c r="K763" s="38"/>
      <c r="L763" s="38"/>
      <c r="M763" s="141"/>
      <c r="N763" s="13"/>
      <c r="O763" s="13"/>
      <c r="P763" s="13"/>
      <c r="Q763" s="13" t="str">
        <f>$A$758&amp;C763&amp;"INC"</f>
        <v>UTL2022INC</v>
      </c>
      <c r="R763" s="47">
        <f>IF(SUM(E763:I763)/D763&gt;1,1,SUM(E763:I763)/D763)</f>
        <v>1</v>
      </c>
      <c r="S763" s="47">
        <f>E763/(E763+F763)</f>
        <v>0.33962264150943394</v>
      </c>
      <c r="T763" s="47">
        <f>F763/(E763+F763)</f>
        <v>0.660377358490566</v>
      </c>
      <c r="U763" s="25">
        <f>E763/D763</f>
        <v>0.33707865168539325</v>
      </c>
      <c r="V763" s="25">
        <f>F763/D763</f>
        <v>0.65543071161048694</v>
      </c>
      <c r="Z763" s="40"/>
    </row>
    <row r="764" spans="1:26" x14ac:dyDescent="0.4">
      <c r="A764" s="13"/>
      <c r="B764" s="11" t="s">
        <v>109</v>
      </c>
      <c r="C764" s="88">
        <v>2021</v>
      </c>
      <c r="D764" s="23">
        <f>SUM(E764:M764)</f>
        <v>73200</v>
      </c>
      <c r="E764" s="36">
        <f>(14+4.5+9-0.8)*1000</f>
        <v>26700</v>
      </c>
      <c r="F764" s="36">
        <f>(23.2+7.7+15.3-0.5)*1000</f>
        <v>45700</v>
      </c>
      <c r="G764" s="29">
        <f>((-1.1)+(-0.7)+2.9-0.3)*1000</f>
        <v>799.99999999999977</v>
      </c>
      <c r="H764" s="29"/>
      <c r="I764" s="29"/>
      <c r="J764" s="29"/>
      <c r="K764" s="38"/>
      <c r="L764" s="38"/>
      <c r="M764" s="141"/>
      <c r="N764" s="13"/>
      <c r="O764" s="13"/>
      <c r="P764" s="13"/>
      <c r="Q764" s="13" t="str">
        <f>$A$758&amp;C764&amp;"INC"</f>
        <v>UTL2021INC</v>
      </c>
      <c r="R764" s="47">
        <f>IF(SUM(E764:I764)/D764&gt;1,1,SUM(E764:I764)/D764)</f>
        <v>1</v>
      </c>
      <c r="S764" s="47">
        <f t="shared" ref="S764:S765" si="450">E764/(E764+F764)</f>
        <v>0.36878453038674031</v>
      </c>
      <c r="T764" s="47">
        <f t="shared" ref="T764:T765" si="451">F764/(E764+F764)</f>
        <v>0.63121546961325969</v>
      </c>
      <c r="U764" s="25">
        <f t="shared" ref="U764:U765" si="452">E764/D764</f>
        <v>0.36475409836065575</v>
      </c>
      <c r="V764" s="25">
        <f t="shared" ref="V764:V765" si="453">F764/D764</f>
        <v>0.62431693989071035</v>
      </c>
      <c r="W764" s="178"/>
      <c r="X764" s="178"/>
      <c r="Z764" s="40"/>
    </row>
    <row r="765" spans="1:26" x14ac:dyDescent="0.4">
      <c r="A765" s="13"/>
      <c r="B765" s="13"/>
      <c r="C765" s="136">
        <v>2020</v>
      </c>
      <c r="D765" s="23">
        <f>SUM(E765:M765)</f>
        <v>70600</v>
      </c>
      <c r="E765" s="36">
        <f>(12.9+4.7+8.7+1.1)*1000</f>
        <v>27400.000000000004</v>
      </c>
      <c r="F765" s="36">
        <f>(19.3+7.3+14.2+1.1)*1000</f>
        <v>41900</v>
      </c>
      <c r="G765" s="29">
        <f>(0+(-1.8)+3.5-0.4)*1000</f>
        <v>1299.9999999999998</v>
      </c>
      <c r="H765" s="29"/>
      <c r="I765" s="29"/>
      <c r="J765" s="29"/>
      <c r="K765" s="38"/>
      <c r="L765" s="38"/>
      <c r="M765" s="141"/>
      <c r="N765" s="13"/>
      <c r="O765" s="13"/>
      <c r="P765" s="13"/>
      <c r="Q765" s="13" t="str">
        <f>$A$758&amp;C765&amp;"INC"</f>
        <v>UTL2020INC</v>
      </c>
      <c r="R765" s="47">
        <f>IF(SUM(E765:I765)/D765&gt;1,1,SUM(E765:I765)/D765)</f>
        <v>1</v>
      </c>
      <c r="S765" s="47">
        <f t="shared" si="450"/>
        <v>0.39538239538239545</v>
      </c>
      <c r="T765" s="47">
        <f t="shared" si="451"/>
        <v>0.60461760461760461</v>
      </c>
      <c r="U765" s="25">
        <f t="shared" si="452"/>
        <v>0.38810198300283294</v>
      </c>
      <c r="V765" s="25">
        <f t="shared" si="453"/>
        <v>0.59348441926345608</v>
      </c>
      <c r="W765" s="178">
        <f>AVERAGE(T763:T765)</f>
        <v>0.63207014424047669</v>
      </c>
      <c r="X765" s="178"/>
      <c r="Z765" s="40"/>
    </row>
    <row r="766" spans="1:26" x14ac:dyDescent="0.4">
      <c r="A766" s="13"/>
      <c r="B766" s="11"/>
      <c r="C766" s="12"/>
      <c r="D766" s="46"/>
      <c r="E766" s="29"/>
      <c r="F766" s="29"/>
      <c r="G766" s="29"/>
      <c r="H766" s="29"/>
      <c r="I766" s="29"/>
      <c r="J766" s="29"/>
      <c r="K766" s="38"/>
      <c r="L766" s="38"/>
      <c r="M766" s="141"/>
      <c r="N766" s="13"/>
      <c r="O766" s="13"/>
      <c r="P766" s="13"/>
      <c r="Q766" s="13"/>
      <c r="R766" s="13"/>
      <c r="Z766" s="24"/>
    </row>
    <row r="767" spans="1:26" x14ac:dyDescent="0.4">
      <c r="A767" s="13"/>
      <c r="B767" s="11"/>
      <c r="C767" s="12">
        <v>2022</v>
      </c>
      <c r="D767" s="23">
        <f>SUM(E767:L767)</f>
        <v>15904800</v>
      </c>
      <c r="E767" s="36">
        <v>5809000</v>
      </c>
      <c r="F767" s="36">
        <v>9888800</v>
      </c>
      <c r="G767" s="29">
        <v>207000</v>
      </c>
      <c r="H767" s="29"/>
      <c r="I767" s="29"/>
      <c r="J767" s="29"/>
      <c r="K767" s="38"/>
      <c r="L767" s="38"/>
      <c r="M767" s="141"/>
      <c r="N767" s="13"/>
      <c r="O767" s="13"/>
      <c r="P767" s="13"/>
      <c r="Q767" s="13" t="str">
        <f>$A$758&amp;C767&amp;"ASSETS"</f>
        <v>UTL2022ASSETS</v>
      </c>
      <c r="R767" s="47">
        <f>IF(SUM(E767:I767)/D767&gt;1,1,SUM(E767:I767)/D767)</f>
        <v>1</v>
      </c>
      <c r="S767" s="47">
        <f>E767/(E767+F767)</f>
        <v>0.37005185439997962</v>
      </c>
      <c r="T767" s="47">
        <f>F767/(E767+F767)</f>
        <v>0.62994814560002044</v>
      </c>
      <c r="U767" s="25">
        <f>E767/D767</f>
        <v>0.36523565213017456</v>
      </c>
      <c r="V767" s="25">
        <f>F767/D767</f>
        <v>0.62174940898345155</v>
      </c>
      <c r="Z767" s="24"/>
    </row>
    <row r="768" spans="1:26" x14ac:dyDescent="0.4">
      <c r="A768" s="13"/>
      <c r="B768" s="11" t="s">
        <v>110</v>
      </c>
      <c r="C768" s="88">
        <v>2021</v>
      </c>
      <c r="D768" s="23">
        <f>SUM(E768:L768)</f>
        <v>15403000</v>
      </c>
      <c r="E768" s="36">
        <v>5840000</v>
      </c>
      <c r="F768" s="36">
        <v>9359000</v>
      </c>
      <c r="G768" s="29">
        <v>204000</v>
      </c>
      <c r="H768" s="29"/>
      <c r="I768" s="29"/>
      <c r="J768" s="29"/>
      <c r="K768" s="38"/>
      <c r="L768" s="38"/>
      <c r="M768" s="141"/>
      <c r="N768" s="13"/>
      <c r="O768" s="13"/>
      <c r="P768" s="13"/>
      <c r="Q768" s="13" t="str">
        <f>$A$758&amp;C768&amp;"ASSETS"</f>
        <v>UTL2021ASSETS</v>
      </c>
      <c r="R768" s="47">
        <f>IF(SUM(E768:I768)/D768&gt;1,1,SUM(E768:I768)/D768)</f>
        <v>1</v>
      </c>
      <c r="S768" s="47">
        <f t="shared" ref="S768:S769" si="454">E768/(E768+F768)</f>
        <v>0.38423580498717019</v>
      </c>
      <c r="T768" s="47">
        <f t="shared" ref="T768:T769" si="455">F768/(E768+F768)</f>
        <v>0.61576419501282975</v>
      </c>
      <c r="U768" s="25">
        <f t="shared" ref="U768:U769" si="456">E768/D768</f>
        <v>0.37914691943127959</v>
      </c>
      <c r="V768" s="25">
        <f t="shared" ref="V768:V769" si="457">F768/D768</f>
        <v>0.60760890735570994</v>
      </c>
      <c r="W768" s="178"/>
      <c r="X768" s="178"/>
      <c r="Z768" s="40"/>
    </row>
    <row r="769" spans="1:26" x14ac:dyDescent="0.4">
      <c r="C769" s="136">
        <v>2020</v>
      </c>
      <c r="D769" s="23">
        <f>SUM(E769:L769)</f>
        <v>14779000</v>
      </c>
      <c r="E769" s="36">
        <v>5718000</v>
      </c>
      <c r="F769" s="36">
        <v>8863000</v>
      </c>
      <c r="G769" s="29">
        <v>198000</v>
      </c>
      <c r="H769" s="29"/>
      <c r="I769" s="29"/>
      <c r="J769" s="29"/>
      <c r="K769" s="38"/>
      <c r="L769" s="38"/>
      <c r="M769" s="141"/>
      <c r="N769" s="13"/>
      <c r="O769" s="13"/>
      <c r="P769" s="13"/>
      <c r="Q769" s="13" t="str">
        <f>$A$758&amp;C769&amp;"ASSETS"</f>
        <v>UTL2020ASSETS</v>
      </c>
      <c r="R769" s="47">
        <f>IF(SUM(E769:I769)/D769&gt;1,1,SUM(E769:I769)/D769)</f>
        <v>1</v>
      </c>
      <c r="S769" s="47">
        <f t="shared" si="454"/>
        <v>0.39215417323914681</v>
      </c>
      <c r="T769" s="47">
        <f t="shared" si="455"/>
        <v>0.60784582676085319</v>
      </c>
      <c r="U769" s="25">
        <f t="shared" si="456"/>
        <v>0.38690033155152581</v>
      </c>
      <c r="V769" s="25">
        <f t="shared" si="457"/>
        <v>0.59970228026253469</v>
      </c>
      <c r="W769" s="178"/>
      <c r="X769" s="178"/>
      <c r="Z769" s="40"/>
    </row>
    <row r="770" spans="1:26" x14ac:dyDescent="0.4">
      <c r="D770" s="180"/>
      <c r="E770" s="30"/>
      <c r="F770" s="30"/>
      <c r="G770" s="30"/>
      <c r="H770" s="30"/>
      <c r="I770" s="30"/>
      <c r="J770" s="30"/>
      <c r="K770" s="30"/>
      <c r="Z770" s="179"/>
    </row>
    <row r="773" spans="1:26" x14ac:dyDescent="0.4">
      <c r="A773" s="103" t="s">
        <v>245</v>
      </c>
      <c r="B773" s="104"/>
      <c r="C773" s="12"/>
      <c r="D773" s="13"/>
      <c r="E773" s="24"/>
      <c r="F773" s="24"/>
      <c r="G773" s="24"/>
      <c r="H773" s="24"/>
      <c r="I773" s="24"/>
      <c r="J773" s="24"/>
      <c r="K773" s="14"/>
      <c r="L773" s="14"/>
      <c r="M773" s="14"/>
      <c r="N773" s="13"/>
      <c r="O773" s="13"/>
      <c r="P773" s="13"/>
      <c r="Q773" s="13"/>
      <c r="R773" s="13"/>
    </row>
    <row r="774" spans="1:26" x14ac:dyDescent="0.4">
      <c r="A774" s="15" t="s">
        <v>246</v>
      </c>
      <c r="B774" s="104"/>
      <c r="C774" s="12"/>
      <c r="D774" s="13"/>
      <c r="E774" s="24"/>
      <c r="F774" s="24"/>
      <c r="G774" s="24"/>
      <c r="H774" s="24"/>
      <c r="I774" s="24"/>
      <c r="J774" s="24"/>
      <c r="K774" s="14"/>
      <c r="L774" s="14"/>
      <c r="M774" s="14"/>
      <c r="N774" s="13"/>
      <c r="O774" s="13"/>
      <c r="P774" s="13"/>
      <c r="Q774" s="13"/>
      <c r="R774" s="13"/>
    </row>
    <row r="775" spans="1:26" ht="36.9" x14ac:dyDescent="0.4">
      <c r="A775" s="10" t="s">
        <v>90</v>
      </c>
      <c r="B775" s="15" t="s">
        <v>187</v>
      </c>
      <c r="C775" s="12"/>
      <c r="D775" s="22" t="s">
        <v>96</v>
      </c>
      <c r="E775" s="33" t="s">
        <v>247</v>
      </c>
      <c r="F775" s="33" t="s">
        <v>248</v>
      </c>
      <c r="G775" s="33" t="s">
        <v>249</v>
      </c>
      <c r="H775" s="33" t="s">
        <v>250</v>
      </c>
      <c r="I775" s="33" t="s">
        <v>176</v>
      </c>
      <c r="J775" s="33" t="s">
        <v>251</v>
      </c>
      <c r="K775" s="33" t="s">
        <v>252</v>
      </c>
      <c r="L775" s="33" t="s">
        <v>253</v>
      </c>
      <c r="M775" s="26"/>
      <c r="N775" s="13"/>
      <c r="O775" s="13"/>
      <c r="P775" s="13"/>
      <c r="Q775" s="20"/>
      <c r="R775" s="21" t="s">
        <v>102</v>
      </c>
      <c r="S775" s="21" t="s">
        <v>103</v>
      </c>
      <c r="T775" s="21" t="s">
        <v>104</v>
      </c>
      <c r="U775" s="21" t="s">
        <v>105</v>
      </c>
      <c r="V775" s="21" t="s">
        <v>106</v>
      </c>
      <c r="W775" s="22"/>
      <c r="X775" s="22"/>
      <c r="Y775" s="13"/>
      <c r="Z775" s="105" t="s">
        <v>254</v>
      </c>
    </row>
    <row r="776" spans="1:26" x14ac:dyDescent="0.4">
      <c r="A776" s="10"/>
      <c r="B776" s="11"/>
      <c r="C776" s="12">
        <v>2022</v>
      </c>
      <c r="D776" s="23">
        <f>SUM(E776:M776)</f>
        <v>9477400</v>
      </c>
      <c r="E776" s="238">
        <v>4971800</v>
      </c>
      <c r="F776" s="238">
        <v>1983000</v>
      </c>
      <c r="G776" s="33">
        <v>1890900</v>
      </c>
      <c r="H776" s="33">
        <v>618500</v>
      </c>
      <c r="I776" s="35">
        <v>0</v>
      </c>
      <c r="J776" s="33">
        <v>12700</v>
      </c>
      <c r="K776" s="33">
        <v>500</v>
      </c>
      <c r="L776" s="35">
        <v>0</v>
      </c>
      <c r="M776" s="26"/>
      <c r="N776" s="13"/>
      <c r="O776" s="13"/>
      <c r="P776" s="13"/>
      <c r="Q776" s="13" t="str">
        <f>$A$775&amp;C776&amp;"REV"</f>
        <v>WEC2022REV</v>
      </c>
      <c r="R776" s="47">
        <f>IF(SUM(E776:I776)/D776&gt;1,1,SUM(E776:I776)/D776)</f>
        <v>0.99860721294869903</v>
      </c>
      <c r="S776" s="47">
        <f>(E776+I776)/SUM(E776:I776)</f>
        <v>0.52532702182963165</v>
      </c>
      <c r="T776" s="47">
        <f>SUM(F776:H776)/SUM(E776:I776)</f>
        <v>0.47467297817036835</v>
      </c>
      <c r="U776" s="25">
        <f t="shared" ref="U776:V778" si="458">IF(OR(ISBLANK($R776),ISBLANK(S776)),"NA",$R776*S776)</f>
        <v>0.52459535315592887</v>
      </c>
      <c r="V776" s="25">
        <f t="shared" si="458"/>
        <v>0.47401185979277022</v>
      </c>
      <c r="W776" s="22"/>
      <c r="X776" s="22"/>
      <c r="Y776" s="13"/>
      <c r="Z776" s="237"/>
    </row>
    <row r="777" spans="1:26" ht="14.4" x14ac:dyDescent="0.55000000000000004">
      <c r="A777" s="13"/>
      <c r="B777" s="11" t="s">
        <v>107</v>
      </c>
      <c r="C777" s="88">
        <v>2021</v>
      </c>
      <c r="D777" s="23">
        <f>SUM(E777:M777)</f>
        <v>8311400</v>
      </c>
      <c r="E777" s="33">
        <v>4538600</v>
      </c>
      <c r="F777" s="33">
        <v>1493800</v>
      </c>
      <c r="G777" s="33">
        <v>1672800</v>
      </c>
      <c r="H777" s="150">
        <v>519000</v>
      </c>
      <c r="I777" s="35">
        <v>0</v>
      </c>
      <c r="J777" s="33">
        <v>86700</v>
      </c>
      <c r="K777" s="33">
        <v>500</v>
      </c>
      <c r="L777" s="35">
        <v>0</v>
      </c>
      <c r="M777" s="141"/>
      <c r="N777" s="13"/>
      <c r="O777" s="13"/>
      <c r="P777" s="13"/>
      <c r="Q777" s="13" t="str">
        <f>$A$775&amp;C777&amp;"REV"</f>
        <v>WEC2021REV</v>
      </c>
      <c r="R777" s="47">
        <f>IF(SUM(E777:I777)/D777&gt;1,1,SUM(E777:I777)/D777)</f>
        <v>0.98950838607214187</v>
      </c>
      <c r="S777" s="47">
        <f>(E777+I777)/SUM(E777:I777)</f>
        <v>0.55185914739427544</v>
      </c>
      <c r="T777" s="47">
        <f>SUM(F777:H777)/SUM(E777:I777)</f>
        <v>0.44814085260572456</v>
      </c>
      <c r="U777" s="25">
        <f t="shared" si="458"/>
        <v>0.54606925427725772</v>
      </c>
      <c r="V777" s="25">
        <f t="shared" si="458"/>
        <v>0.44343913179488414</v>
      </c>
      <c r="W777" s="25"/>
      <c r="X777" s="25"/>
      <c r="Y777" s="13"/>
      <c r="Z777" s="209"/>
    </row>
    <row r="778" spans="1:26" ht="14.4" x14ac:dyDescent="0.55000000000000004">
      <c r="A778" s="13"/>
      <c r="B778" s="13"/>
      <c r="C778" s="136">
        <v>2020</v>
      </c>
      <c r="D778" s="23">
        <f>SUM(E778:M778)</f>
        <v>7241700</v>
      </c>
      <c r="E778" s="35">
        <v>4274000</v>
      </c>
      <c r="F778" s="35">
        <v>1199500</v>
      </c>
      <c r="G778" s="35">
        <v>1321900</v>
      </c>
      <c r="H778" s="150">
        <v>384100</v>
      </c>
      <c r="I778" s="35">
        <v>0</v>
      </c>
      <c r="J778" s="35">
        <v>60000</v>
      </c>
      <c r="K778" s="35">
        <v>2200</v>
      </c>
      <c r="L778" s="35">
        <v>0</v>
      </c>
      <c r="M778" s="141"/>
      <c r="N778" s="13"/>
      <c r="O778" s="13"/>
      <c r="P778" s="13"/>
      <c r="Q778" s="13" t="str">
        <f>$A$775&amp;C778&amp;"REV"</f>
        <v>WEC2020REV</v>
      </c>
      <c r="R778" s="47">
        <f>IF(SUM(E778:I778)/D778&gt;1,1,SUM(E778:I778)/D778)</f>
        <v>0.99141085656682826</v>
      </c>
      <c r="S778" s="47">
        <f>(E778+I778)/SUM(E778:I778)</f>
        <v>0.59530607981057182</v>
      </c>
      <c r="T778" s="47">
        <f>SUM(F778:H778)/SUM(E778:I778)</f>
        <v>0.40469392018942824</v>
      </c>
      <c r="U778" s="25">
        <f t="shared" si="458"/>
        <v>0.59019291050443967</v>
      </c>
      <c r="V778" s="25">
        <f t="shared" si="458"/>
        <v>0.4012179460623887</v>
      </c>
      <c r="W778" s="178">
        <f>AVERAGE(T776:T778)</f>
        <v>0.4425025836551737</v>
      </c>
      <c r="X778" s="25"/>
      <c r="Y778" s="13"/>
      <c r="Z778" s="209"/>
    </row>
    <row r="779" spans="1:26" ht="14.4" x14ac:dyDescent="0.55000000000000004">
      <c r="A779" s="13"/>
      <c r="B779" s="11"/>
      <c r="C779" s="12"/>
      <c r="D779" s="239"/>
      <c r="E779" s="29"/>
      <c r="F779" s="29"/>
      <c r="G779" s="29"/>
      <c r="H779" s="29"/>
      <c r="I779" s="29"/>
      <c r="J779" s="29"/>
      <c r="K779" s="38"/>
      <c r="L779" s="38"/>
      <c r="M779" s="141"/>
      <c r="N779" s="13"/>
      <c r="O779" s="13"/>
      <c r="P779" s="13"/>
      <c r="Q779" s="13"/>
      <c r="R779" s="13"/>
    </row>
    <row r="780" spans="1:26" ht="12.6" x14ac:dyDescent="0.45">
      <c r="A780" s="13"/>
      <c r="B780" s="11"/>
      <c r="C780" s="12">
        <v>2022</v>
      </c>
      <c r="D780" s="23">
        <f>SUM(E780:M780)</f>
        <v>1782300</v>
      </c>
      <c r="E780" s="36">
        <f t="shared" ref="E780:F780" si="459">$Z780*E776/($E776+$F776)</f>
        <v>935983.45603036752</v>
      </c>
      <c r="F780" s="36">
        <f t="shared" si="459"/>
        <v>373316.54396963248</v>
      </c>
      <c r="G780" s="29">
        <v>369700</v>
      </c>
      <c r="H780" s="29">
        <v>64200</v>
      </c>
      <c r="I780" s="29">
        <v>0</v>
      </c>
      <c r="J780" s="29">
        <f>(324.4+(-20.9)+68.9)*1000</f>
        <v>372400</v>
      </c>
      <c r="K780" s="38">
        <f>((-70.8)+(-45.7)+119.4)*1000</f>
        <v>2900.0000000000055</v>
      </c>
      <c r="L780" s="38">
        <f>(0+0+(-336.2))*1000</f>
        <v>-336200</v>
      </c>
      <c r="M780" s="141"/>
      <c r="N780" s="13"/>
      <c r="O780" s="13"/>
      <c r="P780" s="13"/>
      <c r="Q780" s="13" t="str">
        <f>$A$775&amp;C780&amp;"INC"</f>
        <v>WEC2022INC</v>
      </c>
      <c r="R780" s="47">
        <f>IF(SUM(E780:I780)/D780&gt;1,1,SUM(E780:I780)/D780)</f>
        <v>0.97806205464848794</v>
      </c>
      <c r="S780" s="131">
        <v>0.72703043835880365</v>
      </c>
      <c r="T780" s="131">
        <v>0.26848890085488242</v>
      </c>
      <c r="U780" s="178">
        <f>IF(OR(ISBLANK($R780),ISBLANK(S780)),"NA",$R780*S780)</f>
        <v>0.71108088433320238</v>
      </c>
      <c r="V780" s="178">
        <f>IF(OR(ISBLANK($R780),ISBLANK(T780)),"NA",$R780*T780)</f>
        <v>0.26259880602044045</v>
      </c>
      <c r="Z780" s="40">
        <v>1309300</v>
      </c>
    </row>
    <row r="781" spans="1:26" ht="14.4" x14ac:dyDescent="0.55000000000000004">
      <c r="A781" s="13"/>
      <c r="B781" s="11" t="s">
        <v>109</v>
      </c>
      <c r="C781" s="88">
        <v>2021</v>
      </c>
      <c r="D781" s="23">
        <f>SUM(E781:M781)</f>
        <v>1753100</v>
      </c>
      <c r="E781" s="36">
        <f>$Z781*E777/($E777+$F777)</f>
        <v>1002759.4456601021</v>
      </c>
      <c r="F781" s="36">
        <f>$Z781*F777/($E777+$F777)</f>
        <v>330040.55433989788</v>
      </c>
      <c r="G781" s="29">
        <v>361600</v>
      </c>
      <c r="H781" s="29">
        <v>52400</v>
      </c>
      <c r="I781" s="29">
        <v>0</v>
      </c>
      <c r="J781" s="143">
        <f>(276.2+3.1+71)*1000</f>
        <v>350300</v>
      </c>
      <c r="K781" s="14">
        <f>((-50.5)+(-45.8)+92.8)*1000</f>
        <v>-3500</v>
      </c>
      <c r="L781" s="14">
        <f>(0+0+(-340.5))*1000</f>
        <v>-340500</v>
      </c>
      <c r="M781" s="141"/>
      <c r="N781" s="13"/>
      <c r="O781" s="13"/>
      <c r="P781" s="13"/>
      <c r="Q781" s="13" t="str">
        <f>$A$775&amp;C781&amp;"INC"</f>
        <v>WEC2021INC</v>
      </c>
      <c r="R781" s="47">
        <f>IF(SUM(E781:I781)/D781&gt;1,1,SUM(E781:I781)/D781)</f>
        <v>0.99640636586617992</v>
      </c>
      <c r="S781" s="131">
        <v>0.53442759278824847</v>
      </c>
      <c r="T781" s="131">
        <v>0.46246958181384412</v>
      </c>
      <c r="U781" s="178">
        <f t="shared" ref="U781:V782" si="460">IF(OR(ISBLANK($R781),ISBLANK(S781)),"NA",$R781*S781)</f>
        <v>0.53250705554874933</v>
      </c>
      <c r="V781" s="178">
        <f t="shared" si="460"/>
        <v>0.46080763533878438</v>
      </c>
      <c r="W781" s="178"/>
      <c r="X781" s="178"/>
      <c r="Z781" s="40">
        <v>1332800</v>
      </c>
    </row>
    <row r="782" spans="1:26" ht="14.4" x14ac:dyDescent="0.55000000000000004">
      <c r="A782" s="13"/>
      <c r="B782" s="13"/>
      <c r="C782" s="136">
        <v>2020</v>
      </c>
      <c r="D782" s="23">
        <f>SUM(E782:M782)</f>
        <v>1548300</v>
      </c>
      <c r="E782" s="36">
        <f>$Z782*E778/($E778+$F778)</f>
        <v>928902.96884991322</v>
      </c>
      <c r="F782" s="36">
        <f>$Z782*F778/($E778+$F778)</f>
        <v>260697.03115008678</v>
      </c>
      <c r="G782" s="29">
        <v>330800</v>
      </c>
      <c r="H782" s="29">
        <v>61600</v>
      </c>
      <c r="I782" s="29">
        <v>0</v>
      </c>
      <c r="J782" s="240">
        <f>(261.1+44.7+60.8)*1000</f>
        <v>366600</v>
      </c>
      <c r="K782" s="241">
        <f>(-106.4+(-72.4)+124)*1000</f>
        <v>-54800.000000000015</v>
      </c>
      <c r="L782" s="241">
        <f>(0+0+(-345.5))*1000</f>
        <v>-345500</v>
      </c>
      <c r="M782" s="141"/>
      <c r="N782" s="13"/>
      <c r="O782" s="13"/>
      <c r="P782" s="13"/>
      <c r="Q782" s="13" t="str">
        <f>$A$775&amp;C782&amp;"INC"</f>
        <v>WEC2020INC</v>
      </c>
      <c r="R782" s="47">
        <f>IF(SUM(E782:I782)/D782&gt;1,1,SUM(E782:I782)/D782)</f>
        <v>1</v>
      </c>
      <c r="S782" s="131">
        <v>0.53587378623900095</v>
      </c>
      <c r="T782" s="131">
        <v>0.46119754275324276</v>
      </c>
      <c r="U782" s="178">
        <f t="shared" si="460"/>
        <v>0.53587378623900095</v>
      </c>
      <c r="V782" s="178">
        <f t="shared" si="460"/>
        <v>0.46119754275324276</v>
      </c>
      <c r="W782" s="178">
        <f>AVERAGE(T780:T782)</f>
        <v>0.39738534180732304</v>
      </c>
      <c r="X782" s="178"/>
      <c r="Z782" s="40">
        <v>1189600</v>
      </c>
    </row>
    <row r="783" spans="1:26" x14ac:dyDescent="0.4">
      <c r="A783" s="13"/>
      <c r="B783" s="11"/>
      <c r="C783" s="12"/>
      <c r="D783" s="46"/>
      <c r="E783" s="29"/>
      <c r="F783" s="29"/>
      <c r="G783" s="29"/>
      <c r="H783" s="29"/>
      <c r="I783" s="29"/>
      <c r="J783" s="29"/>
      <c r="K783" s="38"/>
      <c r="L783" s="38"/>
      <c r="M783" s="141"/>
      <c r="N783" s="13"/>
      <c r="O783" s="13"/>
      <c r="P783" s="13"/>
      <c r="Q783" s="13"/>
      <c r="R783" s="13"/>
      <c r="Z783" s="24"/>
    </row>
    <row r="784" spans="1:26" ht="12.6" x14ac:dyDescent="0.45">
      <c r="A784" s="13"/>
      <c r="B784" s="11"/>
      <c r="C784" s="12">
        <v>2022</v>
      </c>
      <c r="D784" s="23">
        <f>SUM(E784:L784)</f>
        <v>40176000</v>
      </c>
      <c r="E784" s="36">
        <f t="shared" ref="E784:F786" si="461">$Z784*D776/($D776+$E776)</f>
        <v>16848995.339534368</v>
      </c>
      <c r="F784" s="36">
        <f t="shared" si="461"/>
        <v>8838904.6604656316</v>
      </c>
      <c r="G784" s="29">
        <v>8101000</v>
      </c>
      <c r="H784" s="29">
        <v>1639600</v>
      </c>
      <c r="I784" s="29">
        <v>1909400</v>
      </c>
      <c r="J784" s="29">
        <v>5320600</v>
      </c>
      <c r="K784" s="38">
        <v>774000</v>
      </c>
      <c r="L784" s="38">
        <v>-3256500</v>
      </c>
      <c r="M784" s="141"/>
      <c r="N784" s="13"/>
      <c r="O784" s="13"/>
      <c r="P784" s="13"/>
      <c r="Q784" s="13" t="str">
        <f>$A$775&amp;C784&amp;"ASSETS"</f>
        <v>WEC2022ASSETS</v>
      </c>
      <c r="R784" s="47">
        <f>IF(SUM(E784:I784)/D784&gt;1,1,SUM(E784:I784)/D784)</f>
        <v>0.92935832337714053</v>
      </c>
      <c r="S784" s="131">
        <v>0.8526416845431013</v>
      </c>
      <c r="T784" s="131">
        <v>0.14433446567478228</v>
      </c>
      <c r="U784" s="178">
        <f>IF(OR(ISBLANK($R784),ISBLANK(S784)),"NA",$R784*S784)</f>
        <v>0.79240964638843736</v>
      </c>
      <c r="V784" s="178">
        <f>IF(OR(ISBLANK($R784),ISBLANK(T784)),"NA",$R784*T784)</f>
        <v>0.1341384370250511</v>
      </c>
      <c r="Z784" s="24">
        <v>25687900</v>
      </c>
    </row>
    <row r="785" spans="1:31" ht="12.6" x14ac:dyDescent="0.45">
      <c r="A785" s="13"/>
      <c r="B785" s="11" t="s">
        <v>110</v>
      </c>
      <c r="C785" s="88">
        <v>2021</v>
      </c>
      <c r="D785" s="23">
        <f>SUM(E785:L785)</f>
        <v>37899700</v>
      </c>
      <c r="E785" s="36">
        <f t="shared" si="461"/>
        <v>15910800.846692607</v>
      </c>
      <c r="F785" s="36">
        <f t="shared" si="461"/>
        <v>8688399.1533073932</v>
      </c>
      <c r="G785" s="29">
        <v>7853400</v>
      </c>
      <c r="H785" s="29">
        <v>1506000</v>
      </c>
      <c r="I785" s="29">
        <v>1792700</v>
      </c>
      <c r="J785" s="29">
        <v>4627700</v>
      </c>
      <c r="K785" s="38">
        <v>785300</v>
      </c>
      <c r="L785" s="38">
        <v>-3264600</v>
      </c>
      <c r="M785" s="141"/>
      <c r="N785" s="13"/>
      <c r="O785" s="13"/>
      <c r="P785" s="13"/>
      <c r="Q785" s="13" t="str">
        <f>$A$775&amp;C785&amp;"ASSETS"</f>
        <v>WEC2021ASSETS</v>
      </c>
      <c r="R785" s="47">
        <f>IF(SUM(E785:I785)/D785&gt;1,1,SUM(E785:I785)/D785)</f>
        <v>0.9433135354633414</v>
      </c>
      <c r="S785" s="131">
        <v>0.85931714534771697</v>
      </c>
      <c r="T785" s="131">
        <v>0.13856316175565908</v>
      </c>
      <c r="U785" s="178">
        <f t="shared" ref="U785:V786" si="462">IF(OR(ISBLANK($R785),ISBLANK(S785)),"NA",$R785*S785)</f>
        <v>0.81060549446222097</v>
      </c>
      <c r="V785" s="178">
        <f t="shared" si="462"/>
        <v>0.13070850600070963</v>
      </c>
      <c r="W785" s="178"/>
      <c r="X785" s="178"/>
      <c r="Z785" s="40">
        <v>24599200</v>
      </c>
    </row>
    <row r="786" spans="1:31" ht="12.6" x14ac:dyDescent="0.45">
      <c r="C786" s="136">
        <v>2020</v>
      </c>
      <c r="D786" s="23">
        <f>SUM(E786:L786)</f>
        <v>36363700</v>
      </c>
      <c r="E786" s="36">
        <f t="shared" si="461"/>
        <v>15051507.173684621</v>
      </c>
      <c r="F786" s="36">
        <f t="shared" si="461"/>
        <v>8883292.8263153788</v>
      </c>
      <c r="G786" s="29">
        <v>7471800</v>
      </c>
      <c r="H786" s="29">
        <v>1336200</v>
      </c>
      <c r="I786" s="29">
        <v>1764700</v>
      </c>
      <c r="J786" s="29">
        <v>4455200</v>
      </c>
      <c r="K786" s="38">
        <v>762200</v>
      </c>
      <c r="L786" s="38">
        <v>-3361200</v>
      </c>
      <c r="M786" s="141"/>
      <c r="N786" s="13"/>
      <c r="O786" s="13"/>
      <c r="P786" s="13"/>
      <c r="Q786" s="13" t="str">
        <f>$A$775&amp;C786&amp;"ASSETS"</f>
        <v>WEC2020ASSETS</v>
      </c>
      <c r="R786" s="47">
        <f>IF(SUM(E786:I786)/D786&gt;1,1,SUM(E786:I786)/D786)</f>
        <v>0.94895458932946863</v>
      </c>
      <c r="S786" s="131">
        <v>0.87278018082373088</v>
      </c>
      <c r="T786" s="131">
        <v>0.1249313732891208</v>
      </c>
      <c r="U786" s="178">
        <f t="shared" si="462"/>
        <v>0.82822875806848295</v>
      </c>
      <c r="V786" s="178">
        <f t="shared" si="462"/>
        <v>0.11855420003394417</v>
      </c>
      <c r="W786" s="178"/>
      <c r="X786" s="178"/>
      <c r="Z786" s="40">
        <v>23934800</v>
      </c>
    </row>
    <row r="787" spans="1:31" x14ac:dyDescent="0.4">
      <c r="D787" s="180"/>
      <c r="E787" s="236"/>
      <c r="F787" s="236"/>
      <c r="G787" s="236"/>
      <c r="H787" s="30"/>
      <c r="I787" s="30"/>
      <c r="J787" s="30"/>
      <c r="K787" s="30"/>
      <c r="L787" s="30"/>
      <c r="M787" s="30"/>
    </row>
    <row r="788" spans="1:31" x14ac:dyDescent="0.4">
      <c r="D788" s="180"/>
      <c r="E788" s="102"/>
      <c r="F788" s="102"/>
      <c r="G788" s="102"/>
    </row>
    <row r="790" spans="1:31" x14ac:dyDescent="0.4">
      <c r="A790" s="10" t="s">
        <v>91</v>
      </c>
      <c r="B790" s="11"/>
      <c r="C790" s="12"/>
      <c r="D790" s="13"/>
      <c r="E790" s="106"/>
      <c r="F790" s="24"/>
      <c r="G790" s="24"/>
      <c r="H790" s="24"/>
      <c r="I790" s="14"/>
      <c r="J790" s="14"/>
      <c r="K790" s="14"/>
      <c r="L790" s="14"/>
      <c r="M790" s="14"/>
      <c r="N790" s="13"/>
      <c r="O790" s="13"/>
      <c r="P790" s="13"/>
      <c r="Q790" s="13"/>
      <c r="R790" s="13"/>
    </row>
    <row r="791" spans="1:31" x14ac:dyDescent="0.4">
      <c r="A791" s="13" t="s">
        <v>255</v>
      </c>
      <c r="B791" s="11"/>
      <c r="C791" s="12"/>
      <c r="D791" s="13"/>
      <c r="E791" s="106"/>
      <c r="F791" s="24"/>
      <c r="G791" s="24"/>
      <c r="H791" s="24"/>
      <c r="I791" s="14"/>
      <c r="J791" s="14"/>
      <c r="K791" s="14"/>
      <c r="L791" s="14"/>
      <c r="M791" s="14"/>
      <c r="N791" s="13"/>
      <c r="O791" s="13"/>
      <c r="P791" s="13"/>
      <c r="Q791" s="13"/>
      <c r="R791" s="13"/>
    </row>
    <row r="792" spans="1:31" ht="36.9" x14ac:dyDescent="0.4">
      <c r="A792" s="10" t="s">
        <v>92</v>
      </c>
      <c r="B792" s="15" t="s">
        <v>187</v>
      </c>
      <c r="C792" s="12"/>
      <c r="D792" s="22" t="s">
        <v>96</v>
      </c>
      <c r="E792" s="27" t="s">
        <v>256</v>
      </c>
      <c r="F792" s="27" t="s">
        <v>257</v>
      </c>
      <c r="G792" s="27" t="s">
        <v>189</v>
      </c>
      <c r="H792" s="27" t="s">
        <v>253</v>
      </c>
      <c r="I792" s="38"/>
      <c r="J792" s="14"/>
      <c r="K792" s="14"/>
      <c r="L792" s="14"/>
      <c r="M792" s="14"/>
      <c r="N792" s="13"/>
      <c r="O792" s="13"/>
      <c r="P792" s="13"/>
      <c r="Q792" s="20"/>
      <c r="R792" s="21" t="s">
        <v>102</v>
      </c>
      <c r="S792" s="21" t="s">
        <v>103</v>
      </c>
      <c r="T792" s="21" t="s">
        <v>104</v>
      </c>
      <c r="U792" s="21" t="s">
        <v>105</v>
      </c>
      <c r="V792" s="21" t="s">
        <v>106</v>
      </c>
      <c r="W792" s="22"/>
      <c r="X792" s="22"/>
      <c r="Y792" s="13"/>
      <c r="Z792" s="22" t="s">
        <v>258</v>
      </c>
      <c r="AA792" s="22"/>
      <c r="AB792" s="22" t="s">
        <v>259</v>
      </c>
      <c r="AC792" s="22" t="s">
        <v>260</v>
      </c>
      <c r="AD792" s="22" t="s">
        <v>235</v>
      </c>
      <c r="AE792" s="22" t="s">
        <v>236</v>
      </c>
    </row>
    <row r="793" spans="1:31" x14ac:dyDescent="0.4">
      <c r="A793" s="10"/>
      <c r="B793" s="15"/>
      <c r="C793" s="12">
        <v>2022</v>
      </c>
      <c r="D793" s="23">
        <f>SUM(E793:M793)</f>
        <v>15310000</v>
      </c>
      <c r="E793" s="27">
        <v>12125000</v>
      </c>
      <c r="F793" s="27">
        <v>3082000</v>
      </c>
      <c r="G793" s="27">
        <v>107000</v>
      </c>
      <c r="H793" s="27">
        <v>-4000</v>
      </c>
      <c r="I793" s="38"/>
      <c r="J793" s="14"/>
      <c r="K793" s="14"/>
      <c r="L793" s="14"/>
      <c r="M793" s="14"/>
      <c r="N793" s="13"/>
      <c r="O793" s="13"/>
      <c r="P793" s="13"/>
      <c r="Q793" s="13" t="str">
        <f>$A$792&amp;C793&amp;"REV"</f>
        <v>XEL2022REV</v>
      </c>
      <c r="R793" s="47">
        <f>IF(SUM(E793:F793)/D793&gt;1,1,SUM(E793:F793)/D793)</f>
        <v>0.99327237099934684</v>
      </c>
      <c r="S793" s="47">
        <f>E793/SUM(E793:F793)</f>
        <v>0.79733017689222074</v>
      </c>
      <c r="T793" s="47">
        <f>F793/SUM(E793:F793)</f>
        <v>0.20266982310777931</v>
      </c>
      <c r="U793" s="25">
        <f t="shared" ref="U793:V795" si="463">IF(OR(ISBLANK($R793),ISBLANK(S793)),"NA",$R793*S793)</f>
        <v>0.79196603527106468</v>
      </c>
      <c r="V793" s="25">
        <f t="shared" si="463"/>
        <v>0.20130633572828216</v>
      </c>
      <c r="W793" s="22"/>
      <c r="X793" s="22"/>
      <c r="Y793" s="13"/>
      <c r="Z793" s="22"/>
      <c r="AA793" s="22">
        <v>2021</v>
      </c>
      <c r="AB793" s="153">
        <v>6472000</v>
      </c>
      <c r="AC793" s="153">
        <v>1051000</v>
      </c>
      <c r="AD793" s="31">
        <f>AB793/(AB793+AC793)</f>
        <v>0.86029509504187163</v>
      </c>
      <c r="AE793" s="31">
        <f>AC793/(AB793+AC793)</f>
        <v>0.1397049049581284</v>
      </c>
    </row>
    <row r="794" spans="1:31" ht="14.4" x14ac:dyDescent="0.55000000000000004">
      <c r="A794" s="13"/>
      <c r="B794" s="11" t="s">
        <v>107</v>
      </c>
      <c r="C794" s="88">
        <v>2021</v>
      </c>
      <c r="D794" s="23">
        <f>SUM(E794:M794)</f>
        <v>13431000</v>
      </c>
      <c r="E794" s="150">
        <v>11207000</v>
      </c>
      <c r="F794" s="150">
        <v>2134000</v>
      </c>
      <c r="G794" s="150">
        <v>94000</v>
      </c>
      <c r="H794" s="150">
        <v>-4000</v>
      </c>
      <c r="I794" s="38"/>
      <c r="J794" s="14"/>
      <c r="K794" s="14"/>
      <c r="L794" s="14"/>
      <c r="M794" s="14"/>
      <c r="N794" s="13"/>
      <c r="O794" s="13"/>
      <c r="P794" s="13"/>
      <c r="Q794" s="13" t="str">
        <f>$A$792&amp;C794&amp;"REV"</f>
        <v>XEL2021REV</v>
      </c>
      <c r="R794" s="47">
        <f>IF(SUM(E794:F794)/D794&gt;1,1,SUM(E794:F794)/D794)</f>
        <v>0.99329908420817514</v>
      </c>
      <c r="S794" s="47">
        <f>E794/SUM(E794:F794)</f>
        <v>0.8400419758638783</v>
      </c>
      <c r="T794" s="47">
        <f>F794/SUM(E794:F794)</f>
        <v>0.15995802413612173</v>
      </c>
      <c r="U794" s="25">
        <f t="shared" si="463"/>
        <v>0.83441292532201627</v>
      </c>
      <c r="V794" s="25">
        <f t="shared" si="463"/>
        <v>0.1588861588861589</v>
      </c>
      <c r="W794" s="25"/>
      <c r="X794" s="25"/>
      <c r="Y794" s="13"/>
      <c r="Z794" s="22"/>
      <c r="AA794" s="22">
        <v>2020</v>
      </c>
      <c r="AB794" s="153">
        <f>AB795+225000</f>
        <v>6290000</v>
      </c>
      <c r="AC794" s="153">
        <f>AC795+(-3000)</f>
        <v>947000</v>
      </c>
      <c r="AD794" s="31">
        <f>AB794/(AB794+AC794)</f>
        <v>0.86914467320713007</v>
      </c>
      <c r="AE794" s="31">
        <f>AC794/(AB794+AC794)</f>
        <v>0.13085532679286999</v>
      </c>
    </row>
    <row r="795" spans="1:31" x14ac:dyDescent="0.4">
      <c r="A795" s="13"/>
      <c r="B795" s="11"/>
      <c r="C795" s="136">
        <v>2020</v>
      </c>
      <c r="D795" s="23">
        <f>SUM(E795:M795)</f>
        <v>11526000</v>
      </c>
      <c r="E795" s="30">
        <v>9804000</v>
      </c>
      <c r="F795" s="30">
        <v>1637000</v>
      </c>
      <c r="G795" s="30">
        <v>88000</v>
      </c>
      <c r="H795" s="30">
        <v>-3000</v>
      </c>
      <c r="I795" s="38"/>
      <c r="J795" s="14"/>
      <c r="K795" s="14"/>
      <c r="L795" s="14"/>
      <c r="M795" s="14"/>
      <c r="N795" s="13"/>
      <c r="O795" s="13"/>
      <c r="P795" s="13"/>
      <c r="Q795" s="13" t="str">
        <f>$A$792&amp;C795&amp;"REV"</f>
        <v>XEL2020REV</v>
      </c>
      <c r="R795" s="47">
        <f>IF(SUM(E795:F795)/D795&gt;1,1,SUM(E795:F795)/D795)</f>
        <v>0.99262536873156337</v>
      </c>
      <c r="S795" s="47">
        <f>E795/SUM(E795:F795)</f>
        <v>0.85691810156454851</v>
      </c>
      <c r="T795" s="47">
        <f>F795/SUM(E795:F795)</f>
        <v>0.14308189843545144</v>
      </c>
      <c r="U795" s="25">
        <f t="shared" si="463"/>
        <v>0.85059864653826123</v>
      </c>
      <c r="V795" s="25">
        <f t="shared" si="463"/>
        <v>0.14202672219330209</v>
      </c>
      <c r="W795" s="25"/>
      <c r="X795" s="25"/>
      <c r="Y795" s="13"/>
      <c r="Z795" s="13"/>
      <c r="AA795" s="12">
        <v>2019</v>
      </c>
      <c r="AB795" s="153">
        <v>6065000</v>
      </c>
      <c r="AC795" s="153">
        <v>950000</v>
      </c>
      <c r="AD795" s="31">
        <f>AB795/(AB795+AC795)</f>
        <v>0.86457590876692803</v>
      </c>
      <c r="AE795" s="31">
        <f>AC795/(AB795+AC795)</f>
        <v>0.13542409123307197</v>
      </c>
    </row>
    <row r="796" spans="1:31" x14ac:dyDescent="0.4">
      <c r="A796" s="13"/>
      <c r="B796" s="11"/>
      <c r="C796" s="12"/>
      <c r="D796" s="13"/>
      <c r="E796" s="29"/>
      <c r="F796" s="29"/>
      <c r="G796" s="29"/>
      <c r="H796" s="29"/>
      <c r="I796" s="38"/>
      <c r="J796" s="14"/>
      <c r="K796" s="14"/>
      <c r="L796" s="14"/>
      <c r="M796" s="14"/>
      <c r="N796" s="13"/>
      <c r="O796" s="13"/>
      <c r="P796" s="13"/>
      <c r="Q796" s="13"/>
      <c r="R796" s="13"/>
      <c r="S796" s="13"/>
      <c r="T796" s="13"/>
      <c r="U796" s="13"/>
      <c r="V796" s="13"/>
      <c r="W796" s="13"/>
      <c r="X796" s="13"/>
      <c r="Y796" s="13"/>
      <c r="Z796" s="13"/>
      <c r="AA796" s="13"/>
      <c r="AB796" s="13"/>
      <c r="AC796" s="13"/>
      <c r="AD796" s="13"/>
      <c r="AE796" s="13"/>
    </row>
    <row r="797" spans="1:31" x14ac:dyDescent="0.4">
      <c r="A797" s="13"/>
      <c r="B797" s="11"/>
      <c r="C797" s="12">
        <v>2022</v>
      </c>
      <c r="D797" s="23">
        <f>SUM(E797:M797)</f>
        <v>2203000</v>
      </c>
      <c r="E797" s="36">
        <f t="shared" ref="E797:F799" si="464">$Z797*AD793</f>
        <v>1895230.0943772432</v>
      </c>
      <c r="F797" s="36">
        <f t="shared" si="464"/>
        <v>307769.90562275687</v>
      </c>
      <c r="G797" s="27">
        <v>0</v>
      </c>
      <c r="H797" s="29"/>
      <c r="I797" s="38"/>
      <c r="J797" s="14"/>
      <c r="K797" s="14"/>
      <c r="L797" s="14"/>
      <c r="M797" s="14"/>
      <c r="N797" s="13"/>
      <c r="O797" s="13"/>
      <c r="P797" s="13"/>
      <c r="Q797" s="13" t="str">
        <f>$A$792&amp;C797&amp;"INC"</f>
        <v>XEL2022INC</v>
      </c>
      <c r="R797" s="47">
        <f>IF(SUM(E797:F797)/D797&gt;1,1,SUM(E797:F797)/D797)</f>
        <v>1</v>
      </c>
      <c r="S797" s="47">
        <f>E797/SUM(E797:F797)</f>
        <v>0.86029509504187163</v>
      </c>
      <c r="T797" s="47">
        <f>F797/SUM(E797:F797)</f>
        <v>0.1397049049581284</v>
      </c>
      <c r="U797" s="25">
        <f t="shared" ref="U797:V799" si="465">IF(OR(ISBLANK($R797),ISBLANK(S797)),"NA",$R797*S797)</f>
        <v>0.86029509504187163</v>
      </c>
      <c r="V797" s="25">
        <f t="shared" si="465"/>
        <v>0.1397049049581284</v>
      </c>
      <c r="W797" s="13"/>
      <c r="X797" s="13"/>
      <c r="Y797" s="13"/>
      <c r="Z797" s="144">
        <v>2203000</v>
      </c>
      <c r="AA797" s="13"/>
      <c r="AB797" s="13"/>
      <c r="AC797" s="13"/>
      <c r="AD797" s="13"/>
      <c r="AE797" s="13"/>
    </row>
    <row r="798" spans="1:31" x14ac:dyDescent="0.4">
      <c r="A798" s="13"/>
      <c r="B798" s="11" t="s">
        <v>109</v>
      </c>
      <c r="C798" s="88">
        <v>2021</v>
      </c>
      <c r="D798" s="23">
        <f>SUM(E798:M798)</f>
        <v>2116000</v>
      </c>
      <c r="E798" s="36">
        <f t="shared" si="464"/>
        <v>1839110.1285062872</v>
      </c>
      <c r="F798" s="36">
        <f t="shared" si="464"/>
        <v>276889.87149371288</v>
      </c>
      <c r="G798" s="27">
        <v>0</v>
      </c>
      <c r="H798" s="30"/>
      <c r="I798" s="38"/>
      <c r="J798" s="14"/>
      <c r="K798" s="14"/>
      <c r="L798" s="14"/>
      <c r="M798" s="14"/>
      <c r="N798" s="13"/>
      <c r="O798" s="13"/>
      <c r="P798" s="13"/>
      <c r="Q798" s="13" t="str">
        <f>$A$792&amp;C798&amp;"INC"</f>
        <v>XEL2021INC</v>
      </c>
      <c r="R798" s="47">
        <f>IF(SUM(E798:F798)/D798&gt;1,1,SUM(E798:F798)/D798)</f>
        <v>1</v>
      </c>
      <c r="S798" s="47">
        <f>E798/SUM(E798:F798)</f>
        <v>0.86914467320713007</v>
      </c>
      <c r="T798" s="47">
        <f>F798/SUM(E798:F798)</f>
        <v>0.13085532679286999</v>
      </c>
      <c r="U798" s="25">
        <f t="shared" si="465"/>
        <v>0.86914467320713007</v>
      </c>
      <c r="V798" s="25">
        <f t="shared" si="465"/>
        <v>0.13085532679286999</v>
      </c>
      <c r="W798" s="25"/>
      <c r="X798" s="25"/>
      <c r="Y798" s="13"/>
      <c r="Z798" s="144">
        <v>2116000</v>
      </c>
      <c r="AA798" s="13"/>
      <c r="AB798" s="13"/>
      <c r="AC798" s="13"/>
      <c r="AD798" s="13"/>
      <c r="AE798" s="13"/>
    </row>
    <row r="799" spans="1:31" x14ac:dyDescent="0.4">
      <c r="A799" s="13"/>
      <c r="B799" s="13"/>
      <c r="C799" s="136">
        <v>2020</v>
      </c>
      <c r="D799" s="23">
        <f>SUM(E799:M799)</f>
        <v>2104000</v>
      </c>
      <c r="E799" s="36">
        <f t="shared" si="464"/>
        <v>1819067.7120456165</v>
      </c>
      <c r="F799" s="36">
        <f t="shared" si="464"/>
        <v>284932.28795438341</v>
      </c>
      <c r="G799" s="27">
        <v>0</v>
      </c>
      <c r="H799" s="30"/>
      <c r="I799" s="38"/>
      <c r="J799" s="14"/>
      <c r="K799" s="14"/>
      <c r="L799" s="14"/>
      <c r="M799" s="14"/>
      <c r="N799" s="13"/>
      <c r="O799" s="13"/>
      <c r="P799" s="13"/>
      <c r="Q799" s="13" t="str">
        <f>$A$792&amp;C799&amp;"INC"</f>
        <v>XEL2020INC</v>
      </c>
      <c r="R799" s="47">
        <f>IF(SUM(E799:F799)/D799&gt;1,1,SUM(E799:F799)/D799)</f>
        <v>1</v>
      </c>
      <c r="S799" s="47">
        <f>E799/SUM(E799:F799)</f>
        <v>0.86457590876692803</v>
      </c>
      <c r="T799" s="47">
        <f>F799/SUM(E799:F799)</f>
        <v>0.13542409123307197</v>
      </c>
      <c r="U799" s="25">
        <f t="shared" si="465"/>
        <v>0.86457590876692803</v>
      </c>
      <c r="V799" s="25">
        <f t="shared" si="465"/>
        <v>0.13542409123307197</v>
      </c>
      <c r="W799" s="25"/>
      <c r="X799" s="25"/>
      <c r="Y799" s="13"/>
      <c r="Z799" s="144">
        <v>2104000</v>
      </c>
      <c r="AA799" s="13"/>
      <c r="AB799" s="13"/>
      <c r="AC799" s="13"/>
      <c r="AD799" s="13"/>
      <c r="AE799" s="13"/>
    </row>
    <row r="800" spans="1:31" x14ac:dyDescent="0.4">
      <c r="A800" s="13"/>
      <c r="B800" s="11"/>
      <c r="C800" s="12"/>
      <c r="D800" s="46"/>
      <c r="E800" s="29"/>
      <c r="F800" s="29"/>
      <c r="G800" s="29"/>
      <c r="H800" s="29"/>
      <c r="I800" s="38"/>
      <c r="J800" s="14"/>
      <c r="K800" s="14"/>
      <c r="L800" s="14"/>
      <c r="M800" s="14"/>
      <c r="N800" s="13"/>
      <c r="O800" s="13"/>
      <c r="P800" s="13"/>
      <c r="Q800" s="13"/>
      <c r="R800" s="13"/>
      <c r="Z800" s="18"/>
    </row>
    <row r="801" spans="1:26" x14ac:dyDescent="0.4">
      <c r="A801" s="13"/>
      <c r="B801" s="11"/>
      <c r="C801" s="12">
        <v>2022</v>
      </c>
      <c r="D801" s="23">
        <f>SUM(E801:M801)</f>
        <v>57851000</v>
      </c>
      <c r="E801" s="36">
        <f t="shared" ref="E801:G803" si="466">$Z801*E793/($E793+$F793+$G793)</f>
        <v>45804060.010447957</v>
      </c>
      <c r="F801" s="36">
        <f t="shared" si="466"/>
        <v>11642730.965129947</v>
      </c>
      <c r="G801" s="36">
        <f t="shared" si="466"/>
        <v>404209.02442209743</v>
      </c>
      <c r="H801" s="29"/>
      <c r="I801" s="38"/>
      <c r="J801" s="14"/>
      <c r="K801" s="14"/>
      <c r="L801" s="14"/>
      <c r="M801" s="14"/>
      <c r="N801" s="13"/>
      <c r="O801" s="13"/>
      <c r="P801" s="13"/>
      <c r="Q801" s="13" t="str">
        <f>$A$792&amp;C801&amp;"ASSETS"</f>
        <v>XEL2022ASSETS</v>
      </c>
      <c r="R801" s="47">
        <f>IF(SUM(E801:F801)/D801&gt;1,1,SUM(E801:F801)/D801)</f>
        <v>0.99301292934569685</v>
      </c>
      <c r="S801" s="47">
        <f>E801/SUM(E801:F801)</f>
        <v>0.79733017689222063</v>
      </c>
      <c r="T801" s="47">
        <f>F801/SUM(E801:F801)</f>
        <v>0.20266982310777931</v>
      </c>
      <c r="U801" s="25">
        <f t="shared" ref="U801:V803" si="467">IF(OR(ISBLANK($R801),ISBLANK(S801)),"NA",$R801*S801)</f>
        <v>0.79175917461146661</v>
      </c>
      <c r="V801" s="25">
        <f t="shared" si="467"/>
        <v>0.20125375473423013</v>
      </c>
      <c r="Z801" s="18">
        <v>57851000</v>
      </c>
    </row>
    <row r="802" spans="1:26" x14ac:dyDescent="0.4">
      <c r="A802" s="13"/>
      <c r="B802" s="11" t="s">
        <v>110</v>
      </c>
      <c r="C802" s="88">
        <v>2021</v>
      </c>
      <c r="D802" s="23">
        <f>SUM(E802:M802)</f>
        <v>53957000</v>
      </c>
      <c r="E802" s="36">
        <f t="shared" si="466"/>
        <v>45009013.695571266</v>
      </c>
      <c r="F802" s="36">
        <f t="shared" si="466"/>
        <v>8570468.0312616304</v>
      </c>
      <c r="G802" s="36">
        <f t="shared" si="466"/>
        <v>377518.27316710085</v>
      </c>
      <c r="H802" s="30" t="s">
        <v>261</v>
      </c>
      <c r="I802" s="38"/>
      <c r="J802" s="14"/>
      <c r="K802" s="14"/>
      <c r="L802" s="14"/>
      <c r="M802" s="14"/>
      <c r="N802" s="13"/>
      <c r="O802" s="13"/>
      <c r="P802" s="13"/>
      <c r="Q802" s="13" t="str">
        <f>$A$792&amp;C802&amp;"ASSETS"</f>
        <v>XEL2021ASSETS</v>
      </c>
      <c r="R802" s="47">
        <f>IF(SUM(E802:F802)/D802&gt;1,1,SUM(E802:F802)/D802)</f>
        <v>0.99300334946036461</v>
      </c>
      <c r="S802" s="47">
        <f>E802/SUM(E802:F802)</f>
        <v>0.8400419758638783</v>
      </c>
      <c r="T802" s="47">
        <f>F802/SUM(E802:F802)</f>
        <v>0.15995802413612176</v>
      </c>
      <c r="U802" s="25">
        <f t="shared" si="467"/>
        <v>0.83416449572013396</v>
      </c>
      <c r="V802" s="25">
        <f t="shared" si="467"/>
        <v>0.15883885374023074</v>
      </c>
      <c r="W802" s="178"/>
      <c r="X802" s="178"/>
      <c r="Z802" s="141">
        <v>53957000</v>
      </c>
    </row>
    <row r="803" spans="1:26" x14ac:dyDescent="0.4">
      <c r="B803" s="137"/>
      <c r="C803" s="136">
        <v>2020</v>
      </c>
      <c r="D803" s="23">
        <f>SUM(E803:M803)</f>
        <v>50448000.000000007</v>
      </c>
      <c r="E803" s="36">
        <f t="shared" si="466"/>
        <v>42899834.504293524</v>
      </c>
      <c r="F803" s="36">
        <f t="shared" si="466"/>
        <v>7163099.6617226126</v>
      </c>
      <c r="G803" s="36">
        <f t="shared" si="466"/>
        <v>385065.83398386679</v>
      </c>
      <c r="H803" s="29"/>
      <c r="I803" s="38"/>
      <c r="J803" s="14"/>
      <c r="K803" s="14"/>
      <c r="L803" s="14"/>
      <c r="M803" s="14"/>
      <c r="N803" s="13"/>
      <c r="O803" s="13"/>
      <c r="P803" s="13"/>
      <c r="Q803" s="13" t="str">
        <f>$A$792&amp;C803&amp;"ASSETS"</f>
        <v>XEL2020ASSETS</v>
      </c>
      <c r="R803" s="47">
        <f>IF(SUM(E803:F803)/D803&gt;1,1,SUM(E803:F803)/D803)</f>
        <v>0.99236707433428739</v>
      </c>
      <c r="S803" s="47">
        <f>E803/SUM(E803:F803)</f>
        <v>0.85691810156454851</v>
      </c>
      <c r="T803" s="47">
        <f>F803/SUM(E803:F803)</f>
        <v>0.14308189843545144</v>
      </c>
      <c r="U803" s="25">
        <f t="shared" si="467"/>
        <v>0.85037730939370271</v>
      </c>
      <c r="V803" s="25">
        <f t="shared" si="467"/>
        <v>0.1419897649405846</v>
      </c>
      <c r="W803" s="178"/>
      <c r="X803" s="178"/>
      <c r="Z803" s="141">
        <v>50448000</v>
      </c>
    </row>
    <row r="804" spans="1:26" x14ac:dyDescent="0.4">
      <c r="D804" s="184"/>
      <c r="E804" s="30"/>
      <c r="F804" s="30"/>
      <c r="G804" s="30"/>
      <c r="H804" s="30"/>
      <c r="I804" s="38"/>
    </row>
    <row r="805" spans="1:26" x14ac:dyDescent="0.4">
      <c r="A805" s="242" t="s">
        <v>484</v>
      </c>
      <c r="B805" s="243"/>
      <c r="C805" s="244"/>
      <c r="D805" s="245"/>
      <c r="E805" s="245"/>
      <c r="F805" s="245"/>
      <c r="G805" s="245"/>
      <c r="H805" s="245"/>
      <c r="I805" s="14"/>
      <c r="J805" s="245"/>
      <c r="K805" s="60"/>
      <c r="L805" s="60"/>
      <c r="M805" s="60"/>
      <c r="N805" s="60"/>
      <c r="O805" s="60"/>
      <c r="P805" s="60"/>
    </row>
    <row r="806" spans="1:26" ht="12.6" x14ac:dyDescent="0.45">
      <c r="A806" s="246" t="s">
        <v>485</v>
      </c>
      <c r="B806" s="243"/>
      <c r="C806" s="244"/>
      <c r="D806" s="247"/>
      <c r="E806" s="247"/>
      <c r="F806" s="247"/>
      <c r="G806" s="247"/>
      <c r="H806" s="247"/>
      <c r="I806" s="247"/>
      <c r="J806" s="247"/>
      <c r="K806" s="60"/>
      <c r="L806" s="60"/>
      <c r="M806" s="60"/>
      <c r="N806" s="60"/>
      <c r="O806" s="60"/>
      <c r="P806" s="60"/>
    </row>
    <row r="807" spans="1:26" ht="24.6" x14ac:dyDescent="0.4">
      <c r="A807" s="248" t="s">
        <v>486</v>
      </c>
      <c r="B807" s="15" t="s">
        <v>187</v>
      </c>
      <c r="C807" s="244"/>
      <c r="D807" s="249" t="s">
        <v>96</v>
      </c>
      <c r="E807" s="250" t="s">
        <v>487</v>
      </c>
      <c r="F807" s="250" t="s">
        <v>488</v>
      </c>
      <c r="G807" s="250" t="s">
        <v>138</v>
      </c>
      <c r="H807" s="250"/>
      <c r="I807" s="251"/>
      <c r="J807" s="251"/>
      <c r="K807" s="252"/>
      <c r="L807" s="252"/>
      <c r="M807" s="252"/>
      <c r="N807" s="252"/>
      <c r="O807" s="252"/>
      <c r="P807" s="252"/>
      <c r="Q807" s="252"/>
      <c r="R807" s="21" t="s">
        <v>102</v>
      </c>
      <c r="S807" s="21" t="s">
        <v>489</v>
      </c>
      <c r="T807" s="21" t="s">
        <v>104</v>
      </c>
    </row>
    <row r="808" spans="1:26" x14ac:dyDescent="0.4">
      <c r="A808" s="248"/>
      <c r="B808" s="15"/>
      <c r="C808" s="12">
        <v>2022</v>
      </c>
      <c r="D808" s="249">
        <f>SUM(E808:H808)</f>
        <v>2679475</v>
      </c>
      <c r="E808" s="250">
        <v>2328536</v>
      </c>
      <c r="F808" s="250">
        <v>350939</v>
      </c>
      <c r="G808" s="250">
        <v>0</v>
      </c>
      <c r="H808" s="250"/>
      <c r="I808" s="251"/>
      <c r="J808" s="251"/>
      <c r="K808" s="252"/>
      <c r="L808" s="252"/>
      <c r="M808" s="252"/>
      <c r="N808" s="252"/>
      <c r="O808" s="252"/>
      <c r="P808" s="252"/>
      <c r="Q808" s="137" t="str">
        <f>$A$807&amp;C808&amp;"REV"</f>
        <v>AQN2022REV</v>
      </c>
      <c r="R808" s="253">
        <f>IF(E808/D808&gt;100%, 100%, E808/D808)</f>
        <v>0.86902695490721127</v>
      </c>
      <c r="S808" s="22"/>
      <c r="T808" s="22"/>
    </row>
    <row r="809" spans="1:26" x14ac:dyDescent="0.4">
      <c r="A809" s="248"/>
      <c r="B809" s="11" t="s">
        <v>107</v>
      </c>
      <c r="C809" s="12">
        <v>2021</v>
      </c>
      <c r="D809" s="249">
        <f>SUM(E809:H809)</f>
        <v>2200804</v>
      </c>
      <c r="E809" s="250">
        <v>1944171</v>
      </c>
      <c r="F809" s="250">
        <v>256633</v>
      </c>
      <c r="G809" s="250">
        <v>0</v>
      </c>
      <c r="H809" s="250"/>
      <c r="I809" s="251"/>
      <c r="J809" s="251"/>
      <c r="K809" s="252"/>
      <c r="L809" s="252"/>
      <c r="M809" s="252"/>
      <c r="N809" s="252"/>
      <c r="O809" s="252"/>
      <c r="P809" s="252"/>
      <c r="Q809" s="137" t="str">
        <f>$A$807&amp;C809&amp;"REV"</f>
        <v>AQN2021REV</v>
      </c>
      <c r="R809" s="253">
        <f t="shared" ref="R809:R810" si="468">IF(E809/D809&gt;100%, 100%, E809/D809)</f>
        <v>0.88339125156079323</v>
      </c>
    </row>
    <row r="810" spans="1:26" x14ac:dyDescent="0.4">
      <c r="A810" s="248"/>
      <c r="B810" s="11"/>
      <c r="C810" s="88">
        <v>2020</v>
      </c>
      <c r="D810" s="249">
        <f>SUM(E810:H810)</f>
        <v>1642002</v>
      </c>
      <c r="E810" s="250">
        <v>1386048</v>
      </c>
      <c r="F810" s="250">
        <v>255954</v>
      </c>
      <c r="G810" s="250">
        <v>0</v>
      </c>
      <c r="H810" s="250"/>
      <c r="I810" s="251"/>
      <c r="J810" s="251"/>
      <c r="K810" s="252"/>
      <c r="L810" s="252"/>
      <c r="M810" s="252"/>
      <c r="N810" s="252"/>
      <c r="O810" s="252"/>
      <c r="P810" s="252"/>
      <c r="Q810" s="137" t="str">
        <f>$A$807&amp;C810&amp;"REV"</f>
        <v>AQN2020REV</v>
      </c>
      <c r="R810" s="253">
        <f t="shared" si="468"/>
        <v>0.84412077451793599</v>
      </c>
    </row>
    <row r="811" spans="1:26" x14ac:dyDescent="0.4">
      <c r="A811" s="248"/>
      <c r="B811" s="243"/>
      <c r="C811" s="12"/>
      <c r="D811" s="249"/>
      <c r="E811" s="250"/>
      <c r="F811" s="250"/>
      <c r="G811" s="250"/>
      <c r="H811" s="250"/>
      <c r="I811" s="251"/>
      <c r="J811" s="251"/>
      <c r="K811" s="252"/>
      <c r="L811" s="252"/>
      <c r="M811" s="252"/>
      <c r="N811" s="252"/>
      <c r="O811" s="252"/>
      <c r="P811" s="252"/>
      <c r="Q811" s="252"/>
      <c r="R811" s="253"/>
    </row>
    <row r="812" spans="1:26" x14ac:dyDescent="0.4">
      <c r="A812" s="248"/>
      <c r="B812" s="60"/>
      <c r="C812" s="12">
        <v>2022</v>
      </c>
      <c r="D812" s="247">
        <f>SUM(E812:H812)</f>
        <v>402045</v>
      </c>
      <c r="E812" s="247">
        <v>459299</v>
      </c>
      <c r="F812" s="247">
        <v>-36070</v>
      </c>
      <c r="G812" s="247">
        <v>-21184</v>
      </c>
      <c r="H812" s="250"/>
      <c r="I812" s="251"/>
      <c r="J812" s="251"/>
      <c r="K812" s="252"/>
      <c r="L812" s="252"/>
      <c r="M812" s="252"/>
      <c r="N812" s="252"/>
      <c r="O812" s="252"/>
      <c r="P812" s="252"/>
      <c r="Q812" s="137" t="str">
        <f>$A807&amp;C812&amp;"INC"</f>
        <v>AQN2022INC</v>
      </c>
      <c r="R812" s="253">
        <f>IF(E812/D812&gt;100%, 100%, E812/D812)</f>
        <v>1</v>
      </c>
    </row>
    <row r="813" spans="1:26" x14ac:dyDescent="0.4">
      <c r="A813" s="248"/>
      <c r="B813" s="243" t="s">
        <v>109</v>
      </c>
      <c r="C813" s="12">
        <v>2021</v>
      </c>
      <c r="D813" s="247">
        <f>SUM(E813:H813)</f>
        <v>413102</v>
      </c>
      <c r="E813" s="247">
        <v>399529</v>
      </c>
      <c r="F813" s="247">
        <v>18748</v>
      </c>
      <c r="G813" s="247">
        <v>-5175</v>
      </c>
      <c r="H813" s="247"/>
      <c r="I813" s="247"/>
      <c r="J813" s="247"/>
      <c r="K813" s="247"/>
      <c r="L813" s="247"/>
      <c r="M813" s="247"/>
      <c r="N813" s="247"/>
      <c r="O813" s="247"/>
      <c r="P813" s="247"/>
      <c r="Q813" s="137" t="str">
        <f>$A807&amp;C813&amp;"INC"</f>
        <v>AQN2021INC</v>
      </c>
      <c r="R813" s="253">
        <f t="shared" ref="R813:R814" si="469">IF(E813/D813&gt;100%, 100%, E813/D813)</f>
        <v>0.96714370784939308</v>
      </c>
    </row>
    <row r="814" spans="1:26" x14ac:dyDescent="0.4">
      <c r="A814" s="248"/>
      <c r="B814" s="243"/>
      <c r="C814" s="88">
        <v>2020</v>
      </c>
      <c r="D814" s="247">
        <f>SUM(E814:H814)</f>
        <v>384026</v>
      </c>
      <c r="E814" s="247">
        <v>322084</v>
      </c>
      <c r="F814" s="247">
        <v>61163</v>
      </c>
      <c r="G814" s="247">
        <v>779</v>
      </c>
      <c r="H814" s="247"/>
      <c r="I814" s="60"/>
      <c r="J814" s="60"/>
      <c r="K814" s="60"/>
      <c r="L814" s="60"/>
      <c r="M814" s="60"/>
      <c r="N814" s="60"/>
      <c r="O814" s="60"/>
      <c r="P814" s="60"/>
      <c r="Q814" s="137" t="str">
        <f>$A807&amp;C814&amp;"INC"</f>
        <v>AQN2020INC</v>
      </c>
      <c r="R814" s="253">
        <f t="shared" si="469"/>
        <v>0.83870362944175658</v>
      </c>
    </row>
    <row r="815" spans="1:26" x14ac:dyDescent="0.4">
      <c r="A815" s="248"/>
      <c r="B815" s="243"/>
      <c r="C815" s="12"/>
      <c r="D815" s="247"/>
      <c r="E815" s="247"/>
      <c r="F815" s="247"/>
      <c r="G815" s="247"/>
      <c r="H815" s="247"/>
      <c r="I815" s="247"/>
      <c r="J815" s="137"/>
      <c r="K815" s="60"/>
      <c r="L815" s="247"/>
      <c r="M815" s="247"/>
      <c r="N815" s="247"/>
      <c r="O815" s="247"/>
      <c r="P815" s="247"/>
      <c r="R815" s="253"/>
    </row>
    <row r="816" spans="1:26" x14ac:dyDescent="0.4">
      <c r="A816" s="248"/>
      <c r="B816" s="243"/>
      <c r="C816" s="12">
        <v>2022</v>
      </c>
      <c r="D816" s="247">
        <f t="shared" ref="D816" si="470">SUM(E816:H816)</f>
        <v>17627613</v>
      </c>
      <c r="E816" s="247">
        <v>12109575</v>
      </c>
      <c r="F816" s="247">
        <v>5251933</v>
      </c>
      <c r="G816" s="247">
        <v>266105</v>
      </c>
      <c r="H816" s="247"/>
      <c r="I816" s="247"/>
      <c r="J816" s="137"/>
      <c r="K816" s="60"/>
      <c r="L816" s="247"/>
      <c r="M816" s="247"/>
      <c r="N816" s="247"/>
      <c r="O816" s="247"/>
      <c r="P816" s="247"/>
      <c r="Q816" s="137" t="str">
        <f>$A807&amp;C816&amp;"ASSETS"</f>
        <v>AQN2022ASSETS</v>
      </c>
      <c r="R816" s="253">
        <f>IF(E816/D816&gt;100%, 100%, E816/D816)</f>
        <v>0.68696623870741891</v>
      </c>
    </row>
    <row r="817" spans="1:20" x14ac:dyDescent="0.4">
      <c r="A817" s="248"/>
      <c r="B817" s="243" t="s">
        <v>490</v>
      </c>
      <c r="C817" s="12">
        <v>2021</v>
      </c>
      <c r="D817" s="247">
        <f t="shared" ref="D817:D818" si="471">SUM(E817:H817)</f>
        <v>16797503</v>
      </c>
      <c r="E817" s="247">
        <v>10524466</v>
      </c>
      <c r="F817" s="247">
        <v>6123888</v>
      </c>
      <c r="G817" s="247">
        <v>149149</v>
      </c>
      <c r="H817" s="247"/>
      <c r="I817" s="247"/>
      <c r="J817" s="247"/>
      <c r="K817" s="60"/>
      <c r="L817" s="60"/>
      <c r="M817" s="60"/>
      <c r="N817" s="60"/>
      <c r="O817" s="60"/>
      <c r="P817" s="60"/>
      <c r="Q817" s="137" t="str">
        <f>$A807&amp;C817&amp;"ASSETS"</f>
        <v>AQN2021ASSETS</v>
      </c>
      <c r="R817" s="253">
        <f t="shared" ref="R817:R818" si="472">IF(E817/D817&gt;100%, 100%, E817/D817)</f>
        <v>0.62654943416292286</v>
      </c>
    </row>
    <row r="818" spans="1:20" x14ac:dyDescent="0.4">
      <c r="B818" s="137"/>
      <c r="C818" s="88">
        <v>2020</v>
      </c>
      <c r="D818" s="247">
        <f t="shared" si="471"/>
        <v>13224149</v>
      </c>
      <c r="E818" s="247">
        <v>8528415</v>
      </c>
      <c r="F818" s="247">
        <v>4586878</v>
      </c>
      <c r="G818" s="247">
        <v>108856</v>
      </c>
      <c r="H818" s="247"/>
      <c r="I818" s="247"/>
      <c r="J818" s="247"/>
      <c r="K818" s="60"/>
      <c r="L818" s="60"/>
      <c r="M818" s="60"/>
      <c r="N818" s="60"/>
      <c r="O818" s="60"/>
      <c r="P818" s="60"/>
      <c r="Q818" s="137" t="str">
        <f>$A807&amp;C818&amp;"ASSETS"</f>
        <v>AQN2020ASSETS</v>
      </c>
      <c r="R818" s="253">
        <f t="shared" si="472"/>
        <v>0.64491219813085898</v>
      </c>
    </row>
    <row r="819" spans="1:20" x14ac:dyDescent="0.4">
      <c r="D819" s="184"/>
      <c r="E819" s="30"/>
      <c r="F819" s="30"/>
      <c r="G819" s="30"/>
      <c r="H819" s="30"/>
    </row>
    <row r="820" spans="1:20" x14ac:dyDescent="0.4">
      <c r="D820" s="184"/>
      <c r="E820" s="30"/>
      <c r="F820" s="30"/>
      <c r="G820" s="30"/>
      <c r="H820" s="30"/>
    </row>
    <row r="821" spans="1:20" x14ac:dyDescent="0.4">
      <c r="D821" s="184"/>
    </row>
    <row r="822" spans="1:20" x14ac:dyDescent="0.4">
      <c r="A822" s="242" t="s">
        <v>491</v>
      </c>
      <c r="B822" s="243"/>
      <c r="C822" s="244"/>
      <c r="D822" s="245"/>
      <c r="E822" s="245"/>
      <c r="F822" s="245"/>
      <c r="G822" s="245"/>
      <c r="H822" s="245"/>
      <c r="I822" s="245"/>
      <c r="J822" s="245"/>
      <c r="K822" s="60"/>
      <c r="L822" s="60"/>
      <c r="M822" s="60"/>
      <c r="N822" s="60"/>
      <c r="O822" s="60"/>
      <c r="P822" s="60"/>
    </row>
    <row r="823" spans="1:20" ht="12.6" x14ac:dyDescent="0.45">
      <c r="A823" s="246" t="s">
        <v>492</v>
      </c>
      <c r="B823" s="243"/>
      <c r="C823" s="244"/>
      <c r="D823" s="247"/>
      <c r="E823" s="247"/>
      <c r="F823" s="247"/>
      <c r="G823" s="247"/>
      <c r="H823" s="247"/>
      <c r="I823" s="247"/>
      <c r="J823" s="247"/>
      <c r="K823" s="60"/>
      <c r="L823" s="60"/>
      <c r="M823" s="60"/>
      <c r="N823" s="60"/>
      <c r="O823" s="60"/>
      <c r="P823" s="60"/>
    </row>
    <row r="824" spans="1:20" ht="24.6" x14ac:dyDescent="0.4">
      <c r="A824" s="248" t="s">
        <v>493</v>
      </c>
      <c r="B824" s="254" t="s">
        <v>494</v>
      </c>
      <c r="C824" s="244"/>
      <c r="D824" s="249" t="s">
        <v>96</v>
      </c>
      <c r="E824" s="250" t="s">
        <v>495</v>
      </c>
      <c r="F824" s="250" t="s">
        <v>399</v>
      </c>
      <c r="G824" s="250" t="s">
        <v>138</v>
      </c>
      <c r="H824" s="251" t="s">
        <v>496</v>
      </c>
      <c r="K824" s="252"/>
      <c r="L824" s="252"/>
      <c r="M824" s="252"/>
      <c r="N824" s="252"/>
      <c r="O824" s="252"/>
      <c r="P824" s="252"/>
      <c r="Q824" s="252"/>
      <c r="R824" s="21" t="s">
        <v>102</v>
      </c>
      <c r="S824" s="21" t="s">
        <v>489</v>
      </c>
      <c r="T824" s="21" t="s">
        <v>104</v>
      </c>
    </row>
    <row r="825" spans="1:20" x14ac:dyDescent="0.4">
      <c r="A825" s="248"/>
      <c r="B825" s="254"/>
      <c r="C825" s="12">
        <v>2022</v>
      </c>
      <c r="D825" s="249">
        <f>SUM(E825:H825)</f>
        <v>14087</v>
      </c>
      <c r="E825" s="250">
        <v>4980</v>
      </c>
      <c r="F825" s="250">
        <v>9010</v>
      </c>
      <c r="G825" s="250">
        <v>97</v>
      </c>
      <c r="H825" s="250">
        <v>0</v>
      </c>
      <c r="K825" s="252"/>
      <c r="L825" s="252"/>
      <c r="M825" s="252"/>
      <c r="N825" s="252"/>
      <c r="O825" s="252"/>
      <c r="P825" s="252"/>
      <c r="Q825" s="137" t="str">
        <f>$A$824&amp;C825&amp;"REV"</f>
        <v>ALA2022REV</v>
      </c>
      <c r="R825" s="253">
        <f>E825/D825</f>
        <v>0.35351742741534747</v>
      </c>
      <c r="S825" s="22"/>
      <c r="T825" s="22"/>
    </row>
    <row r="826" spans="1:20" x14ac:dyDescent="0.4">
      <c r="A826" s="248"/>
      <c r="B826" s="11" t="s">
        <v>107</v>
      </c>
      <c r="C826" s="12">
        <v>2021</v>
      </c>
      <c r="D826" s="249">
        <f>SUM(E826:H826)</f>
        <v>10573</v>
      </c>
      <c r="E826" s="250">
        <v>3936</v>
      </c>
      <c r="F826" s="250">
        <v>6535</v>
      </c>
      <c r="G826" s="250">
        <v>104</v>
      </c>
      <c r="H826" s="250">
        <v>-2</v>
      </c>
      <c r="K826" s="252"/>
      <c r="L826" s="252"/>
      <c r="M826" s="252"/>
      <c r="N826" s="252"/>
      <c r="O826" s="252"/>
      <c r="P826" s="252"/>
      <c r="Q826" s="137" t="str">
        <f>$A$824&amp;C826&amp;"REV"</f>
        <v>ALA2021REV</v>
      </c>
      <c r="R826" s="253">
        <f>E826/D826</f>
        <v>0.37226898704246664</v>
      </c>
    </row>
    <row r="827" spans="1:20" x14ac:dyDescent="0.4">
      <c r="A827" s="248"/>
      <c r="B827" s="11"/>
      <c r="C827" s="88">
        <v>2020</v>
      </c>
      <c r="D827" s="249">
        <f>SUM(E827:H827)</f>
        <v>5587</v>
      </c>
      <c r="E827" s="250">
        <v>3817</v>
      </c>
      <c r="F827" s="250">
        <v>1636</v>
      </c>
      <c r="G827" s="250">
        <v>135</v>
      </c>
      <c r="H827" s="250">
        <v>-1</v>
      </c>
      <c r="K827" s="252"/>
      <c r="L827" s="252"/>
      <c r="M827" s="252"/>
      <c r="N827" s="252"/>
      <c r="O827" s="252"/>
      <c r="P827" s="252"/>
      <c r="Q827" s="137" t="str">
        <f>$A$824&amp;C827&amp;"REV"</f>
        <v>ALA2020REV</v>
      </c>
      <c r="R827" s="253">
        <f t="shared" ref="R827" si="473">E827/D827</f>
        <v>0.68319312690173617</v>
      </c>
    </row>
    <row r="828" spans="1:20" x14ac:dyDescent="0.4">
      <c r="A828" s="248"/>
      <c r="B828" s="243"/>
      <c r="C828" s="12"/>
      <c r="D828" s="249"/>
      <c r="E828" s="250"/>
      <c r="F828" s="250"/>
      <c r="G828" s="250"/>
      <c r="H828" s="251"/>
      <c r="J828" s="251"/>
      <c r="K828" s="252"/>
      <c r="L828" s="252"/>
      <c r="M828" s="252"/>
      <c r="N828" s="252"/>
      <c r="O828" s="252"/>
      <c r="P828" s="252"/>
      <c r="Q828" s="252"/>
      <c r="R828" s="253"/>
    </row>
    <row r="829" spans="1:20" x14ac:dyDescent="0.4">
      <c r="A829" s="248"/>
      <c r="B829" s="60"/>
      <c r="C829" s="12">
        <v>2022</v>
      </c>
      <c r="D829" s="247">
        <f>SUM(E829:G829)</f>
        <v>929</v>
      </c>
      <c r="E829" s="250">
        <f>4980-3197-1023-1-290-0</f>
        <v>469</v>
      </c>
      <c r="F829" s="250">
        <f>9010-7915-461-6-116-6</f>
        <v>506</v>
      </c>
      <c r="G829" s="250">
        <f>97-26-84-0-33-0</f>
        <v>-46</v>
      </c>
      <c r="H829" s="247">
        <v>0</v>
      </c>
      <c r="J829" s="251"/>
      <c r="K829" s="252"/>
      <c r="L829" s="252"/>
      <c r="M829" s="252"/>
      <c r="N829" s="252"/>
      <c r="O829" s="252"/>
      <c r="P829" s="252"/>
      <c r="Q829" s="137" t="str">
        <f>$A824&amp;C829&amp;"INC"</f>
        <v>ALA2022INC</v>
      </c>
      <c r="R829" s="253">
        <f>E829/D829</f>
        <v>0.5048439181916039</v>
      </c>
    </row>
    <row r="830" spans="1:20" x14ac:dyDescent="0.4">
      <c r="A830" s="248"/>
      <c r="B830" s="243" t="s">
        <v>109</v>
      </c>
      <c r="C830" s="12">
        <v>2021</v>
      </c>
      <c r="D830" s="247">
        <f>SUM(E830:G830)</f>
        <v>447</v>
      </c>
      <c r="E830" s="250">
        <f>(3936)+(-2723)+(-906)+(-1)+(-285)+0</f>
        <v>21</v>
      </c>
      <c r="F830" s="250">
        <f>(6535)+(-5412)+(-475)+(-6)+(-104)+(-59)</f>
        <v>479</v>
      </c>
      <c r="G830" s="250">
        <f>(104)+(-25)+(-95)+(1)+(-33)+(-5)</f>
        <v>-53</v>
      </c>
      <c r="H830" s="247">
        <f>(-2)+(2)+0+0+0+0</f>
        <v>0</v>
      </c>
      <c r="J830" s="247"/>
      <c r="K830" s="247"/>
      <c r="L830" s="247"/>
      <c r="M830" s="247"/>
      <c r="N830" s="247"/>
      <c r="O830" s="247"/>
      <c r="P830" s="247"/>
      <c r="Q830" s="137" t="str">
        <f>$A824&amp;C830&amp;"INC"</f>
        <v>ALA2021INC</v>
      </c>
      <c r="R830" s="253">
        <f>E830/D830</f>
        <v>4.6979865771812082E-2</v>
      </c>
    </row>
    <row r="831" spans="1:20" x14ac:dyDescent="0.4">
      <c r="A831" s="248"/>
      <c r="B831" s="243"/>
      <c r="C831" s="88">
        <v>2020</v>
      </c>
      <c r="D831" s="247">
        <f>SUM(E831:G831)</f>
        <v>614</v>
      </c>
      <c r="E831" s="250">
        <f>3817-2156-942-295-1</f>
        <v>423</v>
      </c>
      <c r="F831" s="250">
        <f>1636-994-254-4-86-105</f>
        <v>193</v>
      </c>
      <c r="G831" s="250">
        <f>135-29-71-1-33-3</f>
        <v>-2</v>
      </c>
      <c r="H831" s="247">
        <f>-1+1</f>
        <v>0</v>
      </c>
      <c r="J831" s="60"/>
      <c r="K831" s="60"/>
      <c r="L831" s="60"/>
      <c r="M831" s="60"/>
      <c r="N831" s="60"/>
      <c r="O831" s="60"/>
      <c r="P831" s="60"/>
      <c r="Q831" s="137" t="str">
        <f>$A824&amp;C831&amp;"INC"</f>
        <v>ALA2020INC</v>
      </c>
      <c r="R831" s="253">
        <f t="shared" ref="R831" si="474">E831/D831</f>
        <v>0.68892508143322473</v>
      </c>
    </row>
    <row r="832" spans="1:20" x14ac:dyDescent="0.4">
      <c r="A832" s="248"/>
      <c r="B832" s="243"/>
      <c r="C832" s="12"/>
      <c r="D832" s="247"/>
      <c r="E832" s="247"/>
      <c r="F832" s="247"/>
      <c r="G832" s="247"/>
      <c r="H832" s="247"/>
      <c r="J832" s="137"/>
      <c r="K832" s="60"/>
      <c r="L832" s="247"/>
      <c r="M832" s="247"/>
      <c r="N832" s="247"/>
      <c r="O832" s="247"/>
      <c r="P832" s="247"/>
      <c r="R832" s="253"/>
    </row>
    <row r="833" spans="1:20" x14ac:dyDescent="0.4">
      <c r="A833" s="248"/>
      <c r="B833" s="243"/>
      <c r="C833" s="12">
        <v>2022</v>
      </c>
      <c r="D833" s="247">
        <f>SUM(E833:H833)</f>
        <v>23965</v>
      </c>
      <c r="E833" s="247">
        <v>16782</v>
      </c>
      <c r="F833" s="247">
        <v>6728</v>
      </c>
      <c r="G833" s="247">
        <v>455</v>
      </c>
      <c r="H833" s="247">
        <v>0</v>
      </c>
      <c r="J833" s="137"/>
      <c r="K833" s="60"/>
      <c r="L833" s="247"/>
      <c r="M833" s="247"/>
      <c r="N833" s="247"/>
      <c r="O833" s="247"/>
      <c r="P833" s="247"/>
      <c r="Q833" s="137" t="str">
        <f>$A824&amp;C833&amp;"ASSETS"</f>
        <v>ALA2022ASSETS</v>
      </c>
      <c r="R833" s="253">
        <f t="shared" ref="R833:R835" si="475">E833/D833</f>
        <v>0.70027122887544335</v>
      </c>
    </row>
    <row r="834" spans="1:20" x14ac:dyDescent="0.4">
      <c r="A834" s="248"/>
      <c r="B834" s="243" t="s">
        <v>497</v>
      </c>
      <c r="C834" s="12">
        <v>2021</v>
      </c>
      <c r="D834" s="247">
        <f>SUM(E834:H834)</f>
        <v>21018</v>
      </c>
      <c r="E834" s="247">
        <v>14603</v>
      </c>
      <c r="F834" s="247">
        <v>6415</v>
      </c>
      <c r="G834" s="247">
        <v>0</v>
      </c>
      <c r="H834" s="247">
        <v>0</v>
      </c>
      <c r="J834" s="247"/>
      <c r="K834" s="60"/>
      <c r="L834" s="60"/>
      <c r="M834" s="60"/>
      <c r="N834" s="60"/>
      <c r="O834" s="60"/>
      <c r="P834" s="60"/>
      <c r="Q834" s="137" t="str">
        <f>$A824&amp;C834&amp;"ASSETS"</f>
        <v>ALA2021ASSETS</v>
      </c>
      <c r="R834" s="253">
        <f t="shared" si="475"/>
        <v>0.69478542201922167</v>
      </c>
    </row>
    <row r="835" spans="1:20" x14ac:dyDescent="0.4">
      <c r="B835" s="137"/>
      <c r="C835" s="88">
        <v>2020</v>
      </c>
      <c r="D835" s="247">
        <f>SUM(E835:H835)</f>
        <v>21532</v>
      </c>
      <c r="E835" s="247">
        <v>13675</v>
      </c>
      <c r="F835" s="247">
        <v>7320</v>
      </c>
      <c r="G835" s="247">
        <v>537</v>
      </c>
      <c r="H835" s="247">
        <v>0</v>
      </c>
      <c r="J835" s="247"/>
      <c r="K835" s="60"/>
      <c r="L835" s="60"/>
      <c r="M835" s="60"/>
      <c r="N835" s="60"/>
      <c r="O835" s="60"/>
      <c r="P835" s="60"/>
      <c r="Q835" s="137" t="str">
        <f>$A824&amp;C835&amp;"ASSETS"</f>
        <v>ALA2020ASSETS</v>
      </c>
      <c r="R835" s="253">
        <f t="shared" si="475"/>
        <v>0.635101244659112</v>
      </c>
    </row>
    <row r="836" spans="1:20" x14ac:dyDescent="0.4">
      <c r="A836" s="248"/>
      <c r="B836" s="60"/>
      <c r="C836" s="244"/>
      <c r="D836" s="247"/>
      <c r="E836" s="247"/>
      <c r="F836" s="247"/>
      <c r="G836" s="247"/>
      <c r="H836" s="247"/>
      <c r="I836" s="247"/>
      <c r="J836" s="247"/>
      <c r="K836" s="60"/>
      <c r="L836" s="60"/>
      <c r="M836" s="60"/>
      <c r="N836" s="60"/>
      <c r="O836" s="60"/>
      <c r="P836" s="60"/>
    </row>
    <row r="837" spans="1:20" x14ac:dyDescent="0.4">
      <c r="A837" s="248"/>
      <c r="B837" s="60"/>
      <c r="C837" s="244"/>
      <c r="D837" s="247"/>
      <c r="E837" s="247"/>
      <c r="F837" s="247"/>
      <c r="G837" s="247"/>
      <c r="H837" s="247"/>
      <c r="I837" s="247"/>
      <c r="J837" s="247"/>
      <c r="K837" s="60"/>
      <c r="L837" s="60"/>
      <c r="M837" s="60"/>
      <c r="N837" s="60"/>
      <c r="O837" s="60"/>
      <c r="P837" s="60"/>
    </row>
    <row r="838" spans="1:20" x14ac:dyDescent="0.4">
      <c r="A838" s="248"/>
      <c r="B838" s="60"/>
      <c r="C838" s="244"/>
      <c r="D838" s="247"/>
      <c r="E838" s="247"/>
      <c r="F838" s="247"/>
      <c r="G838" s="247"/>
      <c r="H838" s="247"/>
      <c r="I838" s="247"/>
      <c r="J838" s="247"/>
      <c r="K838" s="60"/>
      <c r="L838" s="60"/>
      <c r="M838" s="60"/>
      <c r="N838" s="60"/>
      <c r="O838" s="60"/>
      <c r="P838" s="60"/>
    </row>
    <row r="839" spans="1:20" x14ac:dyDescent="0.4">
      <c r="A839" s="242" t="s">
        <v>498</v>
      </c>
      <c r="B839" s="243"/>
      <c r="C839" s="244"/>
      <c r="D839" s="245"/>
      <c r="E839" s="245"/>
      <c r="F839" s="245"/>
      <c r="G839" s="245"/>
      <c r="H839" s="245"/>
      <c r="I839" s="245"/>
      <c r="J839" s="245"/>
      <c r="K839" s="60"/>
      <c r="L839" s="60"/>
      <c r="M839" s="60"/>
      <c r="N839" s="60"/>
      <c r="O839" s="60"/>
      <c r="P839" s="60"/>
      <c r="Q839" s="60"/>
    </row>
    <row r="840" spans="1:20" ht="12.6" x14ac:dyDescent="0.45">
      <c r="A840" s="246" t="s">
        <v>499</v>
      </c>
      <c r="B840" s="243"/>
      <c r="C840" s="244"/>
      <c r="D840" s="245"/>
      <c r="E840" s="245"/>
      <c r="F840" s="245"/>
      <c r="G840" s="245"/>
      <c r="H840" s="245"/>
      <c r="I840" s="245"/>
      <c r="J840" s="245"/>
      <c r="K840" s="60"/>
      <c r="L840" s="60"/>
      <c r="M840" s="60"/>
      <c r="N840" s="60"/>
      <c r="O840" s="60"/>
      <c r="P840" s="60"/>
      <c r="Q840" s="60"/>
    </row>
    <row r="841" spans="1:20" ht="24.6" x14ac:dyDescent="0.4">
      <c r="A841" s="248" t="s">
        <v>500</v>
      </c>
      <c r="B841" s="254" t="s">
        <v>494</v>
      </c>
      <c r="C841" s="244"/>
      <c r="D841" s="250" t="s">
        <v>96</v>
      </c>
      <c r="E841" s="250" t="s">
        <v>501</v>
      </c>
      <c r="F841" s="30" t="s">
        <v>142</v>
      </c>
      <c r="G841" s="30" t="s">
        <v>101</v>
      </c>
      <c r="H841" s="255" t="s">
        <v>502</v>
      </c>
      <c r="I841" s="250" t="s">
        <v>165</v>
      </c>
      <c r="J841" s="250" t="s">
        <v>133</v>
      </c>
      <c r="L841" s="30"/>
      <c r="N841" s="252"/>
      <c r="O841" s="252"/>
      <c r="P841" s="252"/>
      <c r="Q841" s="252"/>
      <c r="R841" s="256" t="s">
        <v>102</v>
      </c>
      <c r="S841" s="21" t="s">
        <v>489</v>
      </c>
      <c r="T841" s="21" t="s">
        <v>104</v>
      </c>
    </row>
    <row r="842" spans="1:20" x14ac:dyDescent="0.4">
      <c r="A842" s="248"/>
      <c r="B842" s="254"/>
      <c r="C842" s="12">
        <v>2022</v>
      </c>
      <c r="D842" s="249">
        <f>SUM(E842:J842)</f>
        <v>4048</v>
      </c>
      <c r="E842" s="250">
        <v>1514</v>
      </c>
      <c r="F842" s="250">
        <v>1876</v>
      </c>
      <c r="G842" s="250">
        <v>-6</v>
      </c>
      <c r="H842" s="250">
        <v>312</v>
      </c>
      <c r="I842" s="250">
        <v>477</v>
      </c>
      <c r="J842" s="250">
        <v>-125</v>
      </c>
      <c r="L842" s="30"/>
      <c r="N842" s="252"/>
      <c r="O842" s="252"/>
      <c r="P842" s="252"/>
      <c r="Q842" s="137" t="str">
        <f>$A$841&amp;C842&amp;"REV"</f>
        <v>CU2022REV</v>
      </c>
      <c r="R842" s="133">
        <f>(E842+F842)/D842</f>
        <v>0.83745059288537549</v>
      </c>
      <c r="S842" s="22"/>
      <c r="T842" s="22"/>
    </row>
    <row r="843" spans="1:20" x14ac:dyDescent="0.4">
      <c r="A843" s="248"/>
      <c r="B843" s="11" t="s">
        <v>107</v>
      </c>
      <c r="C843" s="12">
        <v>2021</v>
      </c>
      <c r="D843" s="249">
        <f>SUM(E843:J843)</f>
        <v>3515</v>
      </c>
      <c r="E843" s="250">
        <v>1414</v>
      </c>
      <c r="F843" s="250">
        <v>1632</v>
      </c>
      <c r="G843" s="250">
        <v>-5</v>
      </c>
      <c r="H843" s="250">
        <v>209</v>
      </c>
      <c r="I843" s="250">
        <v>351</v>
      </c>
      <c r="J843" s="250">
        <v>-86</v>
      </c>
      <c r="L843" s="30"/>
      <c r="N843" s="252"/>
      <c r="O843" s="252"/>
      <c r="P843" s="252"/>
      <c r="Q843" s="137" t="str">
        <f>$A$841&amp;C843&amp;"REV"</f>
        <v>CU2021REV</v>
      </c>
      <c r="R843" s="133">
        <f t="shared" ref="R843:R844" si="476">(E843+F843)/D843</f>
        <v>0.86657183499288759</v>
      </c>
    </row>
    <row r="844" spans="1:20" x14ac:dyDescent="0.4">
      <c r="A844" s="248"/>
      <c r="B844" s="11"/>
      <c r="C844" s="88">
        <v>2020</v>
      </c>
      <c r="D844" s="249">
        <f>SUM(E844:J844)</f>
        <v>3233</v>
      </c>
      <c r="E844" s="250">
        <v>1387</v>
      </c>
      <c r="F844" s="250">
        <v>1548</v>
      </c>
      <c r="G844" s="250">
        <v>-3</v>
      </c>
      <c r="H844" s="250">
        <v>195</v>
      </c>
      <c r="I844" s="250">
        <v>207</v>
      </c>
      <c r="J844" s="250">
        <v>-101</v>
      </c>
      <c r="L844" s="30"/>
      <c r="N844" s="252"/>
      <c r="O844" s="252"/>
      <c r="P844" s="252"/>
      <c r="Q844" s="137" t="str">
        <f>$A$841&amp;C844&amp;"REV"</f>
        <v>CU2020REV</v>
      </c>
      <c r="R844" s="133">
        <f t="shared" si="476"/>
        <v>0.9078255490256727</v>
      </c>
    </row>
    <row r="845" spans="1:20" x14ac:dyDescent="0.4">
      <c r="A845" s="248"/>
      <c r="B845" s="243"/>
      <c r="C845" s="12"/>
      <c r="D845" s="249"/>
      <c r="E845" s="250"/>
      <c r="F845" s="250"/>
      <c r="G845" s="250"/>
      <c r="H845" s="250"/>
      <c r="I845" s="250"/>
      <c r="J845" s="250"/>
      <c r="L845" s="30"/>
      <c r="N845" s="252"/>
      <c r="O845" s="252"/>
      <c r="P845" s="252"/>
      <c r="Q845" s="252"/>
      <c r="R845" s="133"/>
    </row>
    <row r="846" spans="1:20" x14ac:dyDescent="0.4">
      <c r="A846" s="248"/>
      <c r="B846" s="60"/>
      <c r="C846" s="12">
        <v>2022</v>
      </c>
      <c r="D846" s="247">
        <f>SUM(E846:J846)</f>
        <v>1133</v>
      </c>
      <c r="E846" s="250">
        <f>1514-591-321</f>
        <v>602</v>
      </c>
      <c r="F846" s="250">
        <f>1876-961-289</f>
        <v>626</v>
      </c>
      <c r="G846" s="250">
        <v>0</v>
      </c>
      <c r="H846" s="250">
        <f>312-257-20</f>
        <v>35</v>
      </c>
      <c r="I846" s="250">
        <f>477-595-12</f>
        <v>-130</v>
      </c>
      <c r="J846" s="250">
        <f>-125+125-0</f>
        <v>0</v>
      </c>
      <c r="L846" s="30"/>
      <c r="N846" s="252"/>
      <c r="O846" s="252"/>
      <c r="P846" s="252"/>
      <c r="Q846" s="137" t="str">
        <f>$A841&amp;C846&amp;"INC"</f>
        <v>CU2022INC</v>
      </c>
      <c r="R846" s="133">
        <f t="shared" ref="R846:R848" si="477">(E846+F846)/D846</f>
        <v>1.0838481906443072</v>
      </c>
    </row>
    <row r="847" spans="1:20" x14ac:dyDescent="0.4">
      <c r="A847" s="248"/>
      <c r="B847" s="135" t="s">
        <v>109</v>
      </c>
      <c r="C847" s="12">
        <v>2021</v>
      </c>
      <c r="D847" s="247">
        <f>SUM(E847:J847)</f>
        <v>882</v>
      </c>
      <c r="E847" s="250">
        <f>(1414+(-575)+(-322))</f>
        <v>517</v>
      </c>
      <c r="F847" s="250">
        <f>(1632+(-943)+(-277))</f>
        <v>412</v>
      </c>
      <c r="G847" s="250">
        <f>(5+(-5))</f>
        <v>0</v>
      </c>
      <c r="H847" s="250">
        <f>(209)+(-180)+(-42)</f>
        <v>-13</v>
      </c>
      <c r="I847" s="250">
        <f>(351)+(-375)+(-10)</f>
        <v>-34</v>
      </c>
      <c r="J847" s="250">
        <f>(-86)+(86)</f>
        <v>0</v>
      </c>
      <c r="L847" s="30"/>
      <c r="N847" s="245"/>
      <c r="O847" s="245"/>
      <c r="P847" s="245"/>
      <c r="Q847" s="137" t="str">
        <f>$A841&amp;C847&amp;"INC"</f>
        <v>CU2021INC</v>
      </c>
      <c r="R847" s="133">
        <f t="shared" si="477"/>
        <v>1.0532879818594105</v>
      </c>
    </row>
    <row r="848" spans="1:20" x14ac:dyDescent="0.4">
      <c r="A848" s="248"/>
      <c r="B848" s="243"/>
      <c r="C848" s="88">
        <v>2020</v>
      </c>
      <c r="D848" s="247">
        <f>SUM(E848:J848)</f>
        <v>941</v>
      </c>
      <c r="E848" s="247">
        <f>1387-545-309</f>
        <v>533</v>
      </c>
      <c r="F848" s="250">
        <f>1548-866-259</f>
        <v>423</v>
      </c>
      <c r="G848" s="250">
        <f>-3+3-0</f>
        <v>0</v>
      </c>
      <c r="H848" s="250">
        <f>195-159-20</f>
        <v>16</v>
      </c>
      <c r="I848" s="247">
        <f>207-207-31</f>
        <v>-31</v>
      </c>
      <c r="J848" s="250">
        <f>-101+92+9</f>
        <v>0</v>
      </c>
      <c r="M848" s="30"/>
      <c r="N848" s="18"/>
      <c r="O848" s="60"/>
      <c r="P848" s="60"/>
      <c r="Q848" s="137" t="str">
        <f>$A841&amp;C848&amp;"INC"</f>
        <v>CU2020INC</v>
      </c>
      <c r="R848" s="133">
        <f t="shared" si="477"/>
        <v>1.0159404888416579</v>
      </c>
    </row>
    <row r="849" spans="1:20" x14ac:dyDescent="0.4">
      <c r="A849" s="248"/>
      <c r="B849" s="243"/>
      <c r="C849" s="12"/>
      <c r="D849" s="247"/>
      <c r="E849" s="247"/>
      <c r="F849" s="250"/>
      <c r="G849" s="250"/>
      <c r="H849" s="250"/>
      <c r="I849" s="247"/>
      <c r="J849" s="247"/>
      <c r="M849" s="30"/>
      <c r="N849" s="18"/>
      <c r="O849" s="245"/>
      <c r="P849" s="245"/>
      <c r="R849" s="133"/>
    </row>
    <row r="850" spans="1:20" x14ac:dyDescent="0.4">
      <c r="A850" s="248"/>
      <c r="B850" s="243"/>
      <c r="C850" s="12">
        <v>2022</v>
      </c>
      <c r="D850" s="247">
        <f>SUM(E850:J850)</f>
        <v>21974</v>
      </c>
      <c r="E850" s="247">
        <v>10644</v>
      </c>
      <c r="F850" s="250">
        <v>8865</v>
      </c>
      <c r="G850" s="250">
        <v>-2</v>
      </c>
      <c r="H850" s="250">
        <v>1342</v>
      </c>
      <c r="I850" s="247">
        <v>1350</v>
      </c>
      <c r="J850" s="247">
        <v>-225</v>
      </c>
      <c r="M850" s="30"/>
      <c r="N850" s="18"/>
      <c r="O850" s="245"/>
      <c r="P850" s="245"/>
      <c r="Q850" s="137" t="str">
        <f>$A841&amp;C850&amp;"ASSETS"</f>
        <v>CU2022ASSETS</v>
      </c>
      <c r="R850" s="133">
        <f t="shared" ref="R850:R852" si="478">(E850+F850)/D850</f>
        <v>0.88782197142077002</v>
      </c>
    </row>
    <row r="851" spans="1:20" x14ac:dyDescent="0.4">
      <c r="A851" s="248"/>
      <c r="B851" s="243" t="s">
        <v>497</v>
      </c>
      <c r="C851" s="12">
        <v>2021</v>
      </c>
      <c r="D851" s="247">
        <f>SUM(E851:J851)</f>
        <v>21075</v>
      </c>
      <c r="E851" s="247">
        <v>10405</v>
      </c>
      <c r="F851" s="250">
        <v>8581</v>
      </c>
      <c r="G851" s="250">
        <v>-2</v>
      </c>
      <c r="H851" s="250">
        <v>1194</v>
      </c>
      <c r="I851" s="247">
        <v>1103</v>
      </c>
      <c r="J851" s="247">
        <v>-206</v>
      </c>
      <c r="M851" s="30"/>
      <c r="N851" s="18"/>
      <c r="O851" s="60"/>
      <c r="P851" s="60"/>
      <c r="Q851" s="137" t="str">
        <f>$A841&amp;C851&amp;"ASSETS"</f>
        <v>CU2021ASSETS</v>
      </c>
      <c r="R851" s="133">
        <f t="shared" si="478"/>
        <v>0.90087781731909844</v>
      </c>
    </row>
    <row r="852" spans="1:20" x14ac:dyDescent="0.4">
      <c r="B852" s="137"/>
      <c r="C852" s="88">
        <v>2020</v>
      </c>
      <c r="D852" s="247">
        <f>SUM(E852:J852)</f>
        <v>20296</v>
      </c>
      <c r="E852" s="247">
        <v>10326</v>
      </c>
      <c r="F852" s="250">
        <v>7985</v>
      </c>
      <c r="G852" s="250">
        <v>-1</v>
      </c>
      <c r="H852" s="250">
        <v>993</v>
      </c>
      <c r="I852" s="247">
        <v>1090</v>
      </c>
      <c r="J852" s="247">
        <v>-97</v>
      </c>
      <c r="L852" s="30"/>
      <c r="N852" s="257"/>
      <c r="O852" s="60"/>
      <c r="P852" s="60"/>
      <c r="Q852" s="137" t="str">
        <f>$A841&amp;C852&amp;"ASSETS"</f>
        <v>CU2020ASSETS</v>
      </c>
      <c r="R852" s="133">
        <f t="shared" si="478"/>
        <v>0.90219747733543554</v>
      </c>
    </row>
    <row r="853" spans="1:20" x14ac:dyDescent="0.4">
      <c r="A853" s="248"/>
      <c r="B853" s="60"/>
      <c r="E853" s="137"/>
      <c r="F853" s="137"/>
      <c r="G853" s="137"/>
      <c r="H853" s="137"/>
      <c r="I853" s="247"/>
      <c r="J853" s="247"/>
      <c r="K853" s="60"/>
      <c r="L853" s="60"/>
      <c r="M853" s="60"/>
      <c r="N853" s="60"/>
      <c r="O853" s="60"/>
      <c r="P853" s="60"/>
    </row>
    <row r="854" spans="1:20" x14ac:dyDescent="0.4">
      <c r="A854" s="248"/>
      <c r="B854" s="60"/>
      <c r="C854" s="244"/>
      <c r="D854" s="247"/>
      <c r="E854" s="247"/>
      <c r="F854" s="247"/>
      <c r="G854" s="247"/>
      <c r="H854" s="247"/>
      <c r="I854" s="247"/>
      <c r="J854" s="247"/>
      <c r="K854" s="60"/>
      <c r="L854" s="60"/>
      <c r="M854" s="60"/>
      <c r="N854" s="60"/>
      <c r="O854" s="60"/>
      <c r="P854" s="60"/>
    </row>
    <row r="855" spans="1:20" x14ac:dyDescent="0.4">
      <c r="B855" s="137"/>
      <c r="E855" s="137"/>
      <c r="F855" s="137"/>
      <c r="G855" s="137"/>
      <c r="H855" s="137"/>
      <c r="I855" s="137"/>
      <c r="J855" s="137"/>
      <c r="K855" s="137"/>
      <c r="L855" s="137"/>
      <c r="M855" s="137"/>
    </row>
    <row r="856" spans="1:20" x14ac:dyDescent="0.4">
      <c r="A856" s="248" t="s">
        <v>503</v>
      </c>
      <c r="B856" s="243"/>
      <c r="C856" s="244"/>
      <c r="D856" s="245"/>
      <c r="E856" s="245"/>
      <c r="F856" s="245"/>
      <c r="G856" s="245"/>
      <c r="H856" s="245"/>
      <c r="I856" s="245"/>
      <c r="J856" s="245"/>
      <c r="K856" s="60"/>
      <c r="L856" s="60"/>
      <c r="M856" s="60"/>
      <c r="N856" s="60"/>
      <c r="O856" s="60"/>
      <c r="P856" s="60"/>
      <c r="Q856" s="60"/>
    </row>
    <row r="857" spans="1:20" ht="12.6" x14ac:dyDescent="0.45">
      <c r="A857" s="246" t="s">
        <v>504</v>
      </c>
      <c r="B857" s="243"/>
      <c r="C857" s="244"/>
      <c r="D857" s="245"/>
      <c r="E857" s="245"/>
      <c r="F857" s="245"/>
      <c r="G857" s="245"/>
      <c r="H857" s="245"/>
      <c r="I857" s="245"/>
      <c r="J857" s="245"/>
      <c r="K857" s="60"/>
      <c r="L857" s="60"/>
      <c r="M857" s="60"/>
      <c r="N857" s="60"/>
      <c r="O857" s="60"/>
      <c r="P857" s="60"/>
      <c r="Q857" s="60"/>
    </row>
    <row r="858" spans="1:20" ht="24.6" x14ac:dyDescent="0.4">
      <c r="A858" s="248" t="s">
        <v>505</v>
      </c>
      <c r="B858" s="243"/>
      <c r="C858" s="244"/>
      <c r="D858" s="249" t="s">
        <v>96</v>
      </c>
      <c r="E858" s="252" t="s">
        <v>506</v>
      </c>
      <c r="F858" s="258" t="s">
        <v>507</v>
      </c>
      <c r="G858" s="252" t="s">
        <v>168</v>
      </c>
      <c r="H858" s="252" t="s">
        <v>508</v>
      </c>
      <c r="I858" s="259" t="s">
        <v>165</v>
      </c>
      <c r="J858" s="258" t="s">
        <v>509</v>
      </c>
      <c r="O858" s="252"/>
      <c r="P858" s="252"/>
      <c r="Q858" s="252"/>
      <c r="R858" s="21" t="s">
        <v>102</v>
      </c>
      <c r="S858" s="21" t="s">
        <v>489</v>
      </c>
      <c r="T858" s="21" t="s">
        <v>104</v>
      </c>
    </row>
    <row r="859" spans="1:20" x14ac:dyDescent="0.4">
      <c r="A859" s="248"/>
      <c r="B859" s="243"/>
      <c r="C859" s="12">
        <v>2022</v>
      </c>
      <c r="D859" s="249">
        <f>SUM(E859:J859)</f>
        <v>7588</v>
      </c>
      <c r="E859" s="258">
        <v>3287</v>
      </c>
      <c r="F859" s="258">
        <v>1675</v>
      </c>
      <c r="G859" s="258">
        <v>1704</v>
      </c>
      <c r="H859" s="258">
        <v>518</v>
      </c>
      <c r="I859" s="258">
        <v>440</v>
      </c>
      <c r="J859" s="258">
        <v>-36</v>
      </c>
      <c r="O859" s="252"/>
      <c r="P859" s="252"/>
      <c r="Q859" s="137" t="str">
        <f>$A$858&amp;C859&amp;"REV"</f>
        <v>EMA2022REV</v>
      </c>
      <c r="R859" s="253">
        <f>SUM(E859:H859)/D859</f>
        <v>0.94675803900896149</v>
      </c>
      <c r="S859" s="22"/>
      <c r="T859" s="22"/>
    </row>
    <row r="860" spans="1:20" x14ac:dyDescent="0.4">
      <c r="A860" s="248"/>
      <c r="B860" s="11" t="s">
        <v>107</v>
      </c>
      <c r="C860" s="12">
        <v>2021</v>
      </c>
      <c r="D860" s="249">
        <f>SUM(E860:J860)</f>
        <v>5765</v>
      </c>
      <c r="E860" s="258">
        <v>2724</v>
      </c>
      <c r="F860" s="258">
        <v>1501</v>
      </c>
      <c r="G860" s="258">
        <v>1280</v>
      </c>
      <c r="H860" s="258">
        <v>445</v>
      </c>
      <c r="I860" s="258">
        <v>-157</v>
      </c>
      <c r="J860" s="258">
        <v>-28</v>
      </c>
      <c r="O860" s="252"/>
      <c r="P860" s="252"/>
      <c r="Q860" s="137" t="str">
        <f>$A$858&amp;C860&amp;"REV"</f>
        <v>EMA2021REV</v>
      </c>
      <c r="R860" s="253">
        <f>SUM(E860:H860)/D860</f>
        <v>1.0320901994796183</v>
      </c>
      <c r="S860" s="133"/>
      <c r="T860" s="133"/>
    </row>
    <row r="861" spans="1:20" x14ac:dyDescent="0.4">
      <c r="A861" s="248"/>
      <c r="B861" s="243"/>
      <c r="C861" s="88">
        <v>2020</v>
      </c>
      <c r="D861" s="249">
        <f>SUM(E861:J861)</f>
        <v>5506</v>
      </c>
      <c r="E861" s="258">
        <v>2480</v>
      </c>
      <c r="F861" s="258">
        <v>1494</v>
      </c>
      <c r="G861" s="258">
        <v>1058</v>
      </c>
      <c r="H861" s="258">
        <v>474</v>
      </c>
      <c r="I861" s="258">
        <v>29</v>
      </c>
      <c r="J861" s="258">
        <v>-29</v>
      </c>
      <c r="O861" s="252"/>
      <c r="P861" s="252"/>
      <c r="Q861" s="137" t="str">
        <f>$A$858&amp;C861&amp;"REV"</f>
        <v>EMA2020REV</v>
      </c>
      <c r="R861" s="133">
        <f>SUM(E861:H861)/D861</f>
        <v>1</v>
      </c>
      <c r="S861" s="133"/>
      <c r="T861" s="133"/>
    </row>
    <row r="862" spans="1:20" x14ac:dyDescent="0.4">
      <c r="A862" s="248"/>
      <c r="B862" s="243"/>
      <c r="C862" s="12"/>
      <c r="D862" s="249"/>
      <c r="E862" s="252"/>
      <c r="F862" s="258"/>
      <c r="G862" s="252"/>
      <c r="H862" s="252"/>
      <c r="I862" s="259"/>
      <c r="J862" s="258"/>
      <c r="O862" s="252"/>
      <c r="P862" s="252"/>
      <c r="Q862" s="252"/>
      <c r="R862" s="133"/>
      <c r="S862" s="133"/>
      <c r="T862" s="133"/>
    </row>
    <row r="863" spans="1:20" x14ac:dyDescent="0.4">
      <c r="A863" s="248"/>
      <c r="B863" s="60"/>
      <c r="C863" s="12">
        <v>2022</v>
      </c>
      <c r="D863" s="247">
        <f>SUM(E863:J863)</f>
        <v>2791</v>
      </c>
      <c r="E863" s="247">
        <f>596+185+121+507</f>
        <v>1409</v>
      </c>
      <c r="F863" s="247">
        <f>215+136-8+259</f>
        <v>602</v>
      </c>
      <c r="G863" s="247">
        <f>221+81+70+118</f>
        <v>490</v>
      </c>
      <c r="H863" s="247">
        <f>-48+19+0+61</f>
        <v>32</v>
      </c>
      <c r="I863" s="247">
        <f>-39+288+2+7</f>
        <v>258</v>
      </c>
      <c r="J863" s="247"/>
      <c r="O863" s="252"/>
      <c r="P863" s="252"/>
      <c r="Q863" s="137" t="str">
        <f>$A858&amp;C863&amp;"INC"</f>
        <v>EMA2022INC</v>
      </c>
      <c r="R863" s="133">
        <f>SUM(E863:H863)/D863</f>
        <v>0.90756001433178068</v>
      </c>
      <c r="S863" s="133"/>
      <c r="T863" s="133"/>
    </row>
    <row r="864" spans="1:20" x14ac:dyDescent="0.4">
      <c r="A864" s="248"/>
      <c r="B864" s="243" t="s">
        <v>510</v>
      </c>
      <c r="C864" s="12">
        <v>2021</v>
      </c>
      <c r="D864" s="247">
        <f>SUM(E864:J864)</f>
        <v>2017</v>
      </c>
      <c r="E864" s="247">
        <f>462+138+72+469</f>
        <v>1141</v>
      </c>
      <c r="F864" s="247">
        <f>241+132+9+246</f>
        <v>628</v>
      </c>
      <c r="G864" s="247">
        <f>198+51+62+121</f>
        <v>432</v>
      </c>
      <c r="H864" s="247">
        <f>21+21+1+58</f>
        <v>101</v>
      </c>
      <c r="I864" s="247">
        <f>(-412)+269+(-150)+8</f>
        <v>-285</v>
      </c>
      <c r="J864" s="247"/>
      <c r="O864" s="60"/>
      <c r="P864" s="60"/>
      <c r="Q864" s="137" t="str">
        <f>$A858&amp;C864&amp;"INC"</f>
        <v>EMA2021INC</v>
      </c>
      <c r="R864" s="133">
        <f>SUM(E864:H864)/D864</f>
        <v>1.1412989588497768</v>
      </c>
      <c r="S864" s="133"/>
    </row>
    <row r="865" spans="1:38" x14ac:dyDescent="0.4">
      <c r="A865" s="248"/>
      <c r="B865" s="243"/>
      <c r="C865" s="88">
        <v>2020</v>
      </c>
      <c r="D865" s="247">
        <f>SUM(E865:J865)</f>
        <v>2356</v>
      </c>
      <c r="E865" s="247">
        <v>1196</v>
      </c>
      <c r="F865" s="247">
        <v>614</v>
      </c>
      <c r="G865" s="247">
        <v>392</v>
      </c>
      <c r="H865" s="247">
        <v>129</v>
      </c>
      <c r="I865" s="247">
        <v>25</v>
      </c>
      <c r="J865" s="247"/>
      <c r="O865" s="60"/>
      <c r="P865" s="60"/>
      <c r="Q865" s="137" t="str">
        <f>$A858&amp;C865&amp;"INC"</f>
        <v>EMA2020INC</v>
      </c>
      <c r="R865" s="133">
        <f>SUM(E865:H865)/D865</f>
        <v>0.98938879456706286</v>
      </c>
      <c r="S865" s="133"/>
      <c r="T865" s="133"/>
    </row>
    <row r="866" spans="1:38" x14ac:dyDescent="0.4">
      <c r="A866" s="248"/>
      <c r="B866" s="243"/>
      <c r="C866" s="12"/>
      <c r="D866" s="245"/>
      <c r="E866" s="60"/>
      <c r="F866" s="245"/>
      <c r="G866" s="60"/>
      <c r="H866" s="60"/>
      <c r="I866" s="60"/>
      <c r="J866" s="245"/>
      <c r="O866" s="60"/>
      <c r="P866" s="60"/>
      <c r="R866" s="133"/>
      <c r="S866" s="133"/>
      <c r="T866" s="133"/>
    </row>
    <row r="867" spans="1:38" x14ac:dyDescent="0.4">
      <c r="A867" s="248"/>
      <c r="B867" s="243"/>
      <c r="C867" s="12">
        <v>2022</v>
      </c>
      <c r="D867" s="245">
        <f>SUM(E867:J867)</f>
        <v>39742</v>
      </c>
      <c r="E867" s="245">
        <v>21053</v>
      </c>
      <c r="F867" s="245">
        <v>8223</v>
      </c>
      <c r="G867" s="245">
        <v>7737</v>
      </c>
      <c r="H867" s="245">
        <v>1337</v>
      </c>
      <c r="I867" s="245">
        <v>2835</v>
      </c>
      <c r="J867" s="245">
        <v>-1443</v>
      </c>
      <c r="O867" s="60"/>
      <c r="P867" s="60"/>
      <c r="Q867" s="137" t="str">
        <f>$A858&amp;C867&amp;"ASSETS"</f>
        <v>EMA2022ASSETS</v>
      </c>
      <c r="R867" s="133">
        <f>SUM(E867:H867)/D867</f>
        <v>0.9649740828342811</v>
      </c>
      <c r="S867" s="133"/>
      <c r="T867" s="133"/>
    </row>
    <row r="868" spans="1:38" x14ac:dyDescent="0.4">
      <c r="A868" s="248"/>
      <c r="B868" s="243" t="s">
        <v>497</v>
      </c>
      <c r="C868" s="12">
        <v>2021</v>
      </c>
      <c r="D868" s="245">
        <f>SUM(E868:J868)</f>
        <v>34244</v>
      </c>
      <c r="E868" s="245">
        <v>17903</v>
      </c>
      <c r="F868" s="245">
        <v>7418</v>
      </c>
      <c r="G868" s="245">
        <v>6666</v>
      </c>
      <c r="H868" s="245">
        <v>1402</v>
      </c>
      <c r="I868" s="245">
        <v>2034</v>
      </c>
      <c r="J868" s="245">
        <v>-1179</v>
      </c>
      <c r="O868" s="60"/>
      <c r="P868" s="60"/>
      <c r="Q868" s="137" t="str">
        <f>$A858&amp;C868&amp;"ASSETS"</f>
        <v>EMA2021ASSETS</v>
      </c>
      <c r="R868" s="133">
        <f>SUM(E868:H868)/D868</f>
        <v>0.97503212241560566</v>
      </c>
      <c r="S868" s="133"/>
      <c r="T868" s="133"/>
    </row>
    <row r="869" spans="1:38" x14ac:dyDescent="0.4">
      <c r="B869" s="137"/>
      <c r="C869" s="88">
        <v>2020</v>
      </c>
      <c r="D869" s="245">
        <f>SUM(E869:J869)</f>
        <v>31234</v>
      </c>
      <c r="E869" s="245">
        <v>16889</v>
      </c>
      <c r="F869" s="245">
        <v>6752</v>
      </c>
      <c r="G869" s="245">
        <v>6067</v>
      </c>
      <c r="H869" s="245">
        <v>1365</v>
      </c>
      <c r="I869" s="245">
        <v>1234</v>
      </c>
      <c r="J869" s="245">
        <v>-1073</v>
      </c>
      <c r="O869" s="60"/>
      <c r="P869" s="60"/>
      <c r="Q869" s="137" t="str">
        <f>$A858&amp;C869&amp;"ASSETS"</f>
        <v>EMA2020ASSETS</v>
      </c>
      <c r="R869" s="133">
        <f>SUM(E869:H869)/D869</f>
        <v>0.99484536082474229</v>
      </c>
      <c r="S869" s="133"/>
      <c r="T869" s="133"/>
    </row>
    <row r="870" spans="1:38" x14ac:dyDescent="0.4">
      <c r="A870" s="248"/>
      <c r="B870" s="60"/>
      <c r="C870" s="244"/>
      <c r="D870" s="245"/>
      <c r="E870" s="245"/>
      <c r="F870" s="245"/>
      <c r="G870" s="245"/>
      <c r="H870" s="245"/>
      <c r="I870" s="245"/>
      <c r="J870" s="245"/>
      <c r="K870" s="245"/>
      <c r="L870" s="60"/>
      <c r="M870" s="60"/>
      <c r="N870" s="60"/>
      <c r="O870" s="60"/>
      <c r="P870" s="60"/>
    </row>
    <row r="871" spans="1:38" x14ac:dyDescent="0.4">
      <c r="B871" s="137"/>
      <c r="E871" s="137"/>
      <c r="F871" s="137"/>
      <c r="G871" s="137"/>
      <c r="H871" s="137"/>
      <c r="I871" s="137"/>
      <c r="J871" s="137"/>
      <c r="K871" s="137"/>
      <c r="L871" s="137"/>
      <c r="M871" s="137"/>
    </row>
    <row r="872" spans="1:38" x14ac:dyDescent="0.4">
      <c r="A872" s="248" t="s">
        <v>511</v>
      </c>
      <c r="B872" s="243"/>
      <c r="C872" s="244"/>
      <c r="D872" s="245"/>
      <c r="E872" s="245"/>
      <c r="F872" s="245"/>
      <c r="G872" s="245"/>
      <c r="H872" s="245"/>
      <c r="I872" s="245"/>
      <c r="J872" s="245"/>
      <c r="K872" s="60"/>
      <c r="L872" s="60"/>
      <c r="M872" s="60"/>
      <c r="N872" s="60"/>
      <c r="O872" s="60"/>
      <c r="P872" s="60"/>
      <c r="Q872" s="60"/>
    </row>
    <row r="873" spans="1:38" ht="12.6" x14ac:dyDescent="0.45">
      <c r="A873" s="246" t="s">
        <v>512</v>
      </c>
      <c r="B873" s="243"/>
      <c r="C873" s="244"/>
      <c r="D873" s="245"/>
      <c r="E873" s="245"/>
      <c r="F873" s="245"/>
      <c r="G873" s="245"/>
      <c r="H873" s="245"/>
      <c r="I873" s="245"/>
      <c r="J873" s="245"/>
      <c r="K873" s="60"/>
      <c r="L873" s="60"/>
      <c r="M873" s="60"/>
      <c r="N873" s="60"/>
      <c r="O873" s="60"/>
      <c r="P873" s="60"/>
      <c r="Q873" s="60"/>
      <c r="Y873" s="318" t="s">
        <v>513</v>
      </c>
      <c r="Z873" s="318"/>
      <c r="AA873" s="318"/>
      <c r="AB873" s="318"/>
      <c r="AC873" s="318"/>
      <c r="AD873" s="318"/>
      <c r="AE873" s="318"/>
      <c r="AF873" s="318" t="s">
        <v>514</v>
      </c>
      <c r="AG873" s="318"/>
      <c r="AH873" s="318"/>
      <c r="AI873" s="318"/>
      <c r="AJ873" s="318"/>
      <c r="AK873" s="318"/>
      <c r="AL873" s="318"/>
    </row>
    <row r="874" spans="1:38" ht="49.2" x14ac:dyDescent="0.4">
      <c r="A874" s="248" t="s">
        <v>515</v>
      </c>
      <c r="B874" s="243"/>
      <c r="C874" s="244"/>
      <c r="D874" s="249" t="s">
        <v>96</v>
      </c>
      <c r="E874" s="258" t="s">
        <v>516</v>
      </c>
      <c r="F874" s="258" t="s">
        <v>517</v>
      </c>
      <c r="G874" s="258" t="s">
        <v>518</v>
      </c>
      <c r="H874" s="258" t="s">
        <v>398</v>
      </c>
      <c r="I874" s="260" t="s">
        <v>519</v>
      </c>
      <c r="J874" s="260" t="s">
        <v>520</v>
      </c>
      <c r="K874" s="252"/>
      <c r="L874" s="252"/>
      <c r="M874" s="252"/>
      <c r="N874" s="252"/>
      <c r="O874" s="252"/>
      <c r="P874" s="252"/>
      <c r="Q874" s="252"/>
      <c r="R874" s="21" t="s">
        <v>102</v>
      </c>
      <c r="S874" s="21" t="s">
        <v>489</v>
      </c>
      <c r="T874" s="21" t="s">
        <v>104</v>
      </c>
      <c r="U874" s="22"/>
      <c r="V874" s="22"/>
      <c r="W874" s="22"/>
      <c r="Y874" s="136" t="s">
        <v>96</v>
      </c>
      <c r="Z874" s="177" t="s">
        <v>516</v>
      </c>
      <c r="AA874" s="177" t="s">
        <v>517</v>
      </c>
      <c r="AB874" s="177" t="s">
        <v>518</v>
      </c>
      <c r="AC874" s="177" t="s">
        <v>398</v>
      </c>
      <c r="AD874" s="177" t="s">
        <v>519</v>
      </c>
      <c r="AE874" s="177" t="s">
        <v>520</v>
      </c>
      <c r="AF874" s="177" t="s">
        <v>96</v>
      </c>
      <c r="AG874" s="177" t="s">
        <v>516</v>
      </c>
      <c r="AH874" s="177" t="s">
        <v>517</v>
      </c>
      <c r="AI874" s="177" t="s">
        <v>518</v>
      </c>
      <c r="AJ874" s="177" t="s">
        <v>398</v>
      </c>
      <c r="AK874" s="177" t="s">
        <v>519</v>
      </c>
      <c r="AL874" s="177" t="s">
        <v>520</v>
      </c>
    </row>
    <row r="875" spans="1:38" ht="14.4" x14ac:dyDescent="0.55000000000000004">
      <c r="A875" s="248"/>
      <c r="B875" s="243"/>
      <c r="C875" s="192">
        <v>2022</v>
      </c>
      <c r="D875" s="249">
        <f>SUM(E875:J875)</f>
        <v>53309000</v>
      </c>
      <c r="E875" s="258">
        <v>5426000</v>
      </c>
      <c r="F875" s="258">
        <v>6729000</v>
      </c>
      <c r="G875" s="258">
        <v>582000</v>
      </c>
      <c r="H875" s="258">
        <v>29175000</v>
      </c>
      <c r="I875" s="245">
        <v>-655000</v>
      </c>
      <c r="J875" s="245">
        <v>12052000</v>
      </c>
      <c r="K875" s="252"/>
      <c r="L875" s="252"/>
      <c r="M875" s="252"/>
      <c r="N875" s="252"/>
      <c r="O875" s="252"/>
      <c r="P875" s="252"/>
      <c r="Q875" s="137" t="str">
        <f>$A$874&amp;C875&amp;"REV"</f>
        <v>ENB2022REV</v>
      </c>
      <c r="R875" s="261">
        <f>F875/D875</f>
        <v>0.1262263407679754</v>
      </c>
      <c r="S875" s="22"/>
      <c r="T875" s="22"/>
      <c r="U875" s="22"/>
      <c r="V875" s="22"/>
      <c r="W875" s="22"/>
      <c r="Y875" s="136"/>
      <c r="Z875" s="177"/>
      <c r="AA875" s="177"/>
      <c r="AB875" s="177"/>
      <c r="AC875" s="177"/>
      <c r="AD875" s="177"/>
      <c r="AE875" s="177"/>
      <c r="AF875" s="177"/>
      <c r="AG875" s="177"/>
      <c r="AH875" s="177"/>
      <c r="AI875" s="177"/>
      <c r="AJ875" s="177"/>
      <c r="AK875" s="177"/>
      <c r="AL875" s="177"/>
    </row>
    <row r="876" spans="1:38" ht="14.4" x14ac:dyDescent="0.55000000000000004">
      <c r="A876" s="248"/>
      <c r="B876" s="11"/>
      <c r="C876" s="192">
        <v>2021</v>
      </c>
      <c r="D876" s="249">
        <f>SUM(E876:J876)</f>
        <v>47071000</v>
      </c>
      <c r="E876" s="262">
        <v>4711000</v>
      </c>
      <c r="F876" s="262">
        <v>4980000</v>
      </c>
      <c r="G876" s="262">
        <v>512000</v>
      </c>
      <c r="H876" s="262">
        <v>26917000</v>
      </c>
      <c r="I876" s="245">
        <v>-630000</v>
      </c>
      <c r="J876" s="245">
        <v>10581000</v>
      </c>
      <c r="K876" s="252"/>
      <c r="L876" s="252"/>
      <c r="M876" s="252"/>
      <c r="N876" s="252"/>
      <c r="O876" s="252"/>
      <c r="P876" s="252"/>
      <c r="Q876" s="137" t="str">
        <f>$A$874&amp;C876&amp;"REV"</f>
        <v>ENB2021REV</v>
      </c>
      <c r="R876" s="261">
        <f>F876/D876</f>
        <v>0.1057976248645663</v>
      </c>
    </row>
    <row r="877" spans="1:38" x14ac:dyDescent="0.4">
      <c r="A877" s="248"/>
      <c r="B877" s="11" t="s">
        <v>521</v>
      </c>
      <c r="C877" s="88">
        <v>2020</v>
      </c>
      <c r="D877" s="249">
        <f>SUM(E877:J877)</f>
        <v>39087000</v>
      </c>
      <c r="E877" s="245">
        <v>4870000</v>
      </c>
      <c r="F877" s="245">
        <v>4569000</v>
      </c>
      <c r="G877" s="245">
        <v>587000</v>
      </c>
      <c r="H877" s="245">
        <v>19283000</v>
      </c>
      <c r="I877" s="245">
        <v>-645000</v>
      </c>
      <c r="J877" s="245">
        <v>10423000</v>
      </c>
      <c r="K877" s="252"/>
      <c r="L877" s="252"/>
      <c r="M877" s="252"/>
      <c r="N877" s="252"/>
      <c r="O877" s="252"/>
      <c r="P877" s="252"/>
      <c r="Q877" s="137" t="str">
        <f>$A$874&amp;C877&amp;"REV"</f>
        <v>ENB2020REV</v>
      </c>
      <c r="R877" s="261">
        <f t="shared" ref="R877:R885" si="479">F877/D877</f>
        <v>0.11689308465730294</v>
      </c>
    </row>
    <row r="878" spans="1:38" x14ac:dyDescent="0.4">
      <c r="A878" s="248"/>
      <c r="B878" s="243"/>
      <c r="C878" s="12"/>
      <c r="D878" s="249"/>
      <c r="E878" s="258"/>
      <c r="F878" s="258"/>
      <c r="G878" s="258"/>
      <c r="H878" s="258"/>
      <c r="I878" s="260"/>
      <c r="J878" s="260"/>
      <c r="K878" s="252"/>
      <c r="L878" s="252"/>
      <c r="M878" s="252"/>
      <c r="N878" s="252"/>
      <c r="O878" s="252"/>
      <c r="P878" s="252"/>
      <c r="Q878" s="252"/>
      <c r="R878" s="261"/>
    </row>
    <row r="879" spans="1:38" x14ac:dyDescent="0.4">
      <c r="A879" s="248"/>
      <c r="B879" s="243"/>
      <c r="C879" s="12">
        <v>2022</v>
      </c>
      <c r="D879" s="245">
        <f>SUM(E879:J879)</f>
        <v>12020000</v>
      </c>
      <c r="E879" s="245">
        <v>3126000</v>
      </c>
      <c r="F879" s="245">
        <v>1827000</v>
      </c>
      <c r="G879" s="245">
        <v>262000</v>
      </c>
      <c r="H879" s="245">
        <v>-417000</v>
      </c>
      <c r="I879" s="245">
        <v>-1124000</v>
      </c>
      <c r="J879" s="245">
        <v>8346000</v>
      </c>
      <c r="K879" s="252"/>
      <c r="L879" s="252"/>
      <c r="M879" s="252"/>
      <c r="N879" s="252"/>
      <c r="O879" s="252"/>
      <c r="P879" s="252"/>
      <c r="Q879" s="137" t="str">
        <f>$A$874&amp;C879&amp;"INC"</f>
        <v>ENB2022INC</v>
      </c>
      <c r="R879" s="261">
        <f t="shared" ref="R879" si="480">F879/D879</f>
        <v>0.15199667221297836</v>
      </c>
    </row>
    <row r="880" spans="1:38" ht="14.4" x14ac:dyDescent="0.55000000000000004">
      <c r="A880" s="248"/>
      <c r="B880" s="60"/>
      <c r="C880" s="192">
        <v>2021</v>
      </c>
      <c r="D880" s="245">
        <f>SUM(E880:J880)</f>
        <v>14236000</v>
      </c>
      <c r="E880" s="245">
        <v>3671000</v>
      </c>
      <c r="F880" s="245">
        <v>2117000</v>
      </c>
      <c r="G880" s="245">
        <v>508000</v>
      </c>
      <c r="H880" s="245">
        <v>-313000</v>
      </c>
      <c r="I880" s="245">
        <v>356000</v>
      </c>
      <c r="J880" s="245">
        <v>7897000</v>
      </c>
      <c r="K880" s="60"/>
      <c r="L880" s="60"/>
      <c r="M880" s="60"/>
      <c r="N880" s="60"/>
      <c r="O880" s="60"/>
      <c r="P880" s="60"/>
      <c r="Q880" s="137" t="str">
        <f>$A874&amp;C880&amp;"INC"</f>
        <v>ENB2021INC</v>
      </c>
      <c r="R880" s="261">
        <f t="shared" si="479"/>
        <v>0.14870750210733352</v>
      </c>
    </row>
    <row r="881" spans="1:38" x14ac:dyDescent="0.4">
      <c r="A881" s="248"/>
      <c r="B881" s="243" t="s">
        <v>522</v>
      </c>
      <c r="C881" s="88">
        <v>2020</v>
      </c>
      <c r="D881" s="245">
        <f>SUM(E881:J881)</f>
        <v>10692000</v>
      </c>
      <c r="E881" s="245">
        <v>1087000</v>
      </c>
      <c r="F881" s="245">
        <v>1748000</v>
      </c>
      <c r="G881" s="245">
        <v>523000</v>
      </c>
      <c r="H881" s="245">
        <v>-236000</v>
      </c>
      <c r="I881" s="245">
        <v>-113000</v>
      </c>
      <c r="J881" s="245">
        <v>7683000</v>
      </c>
      <c r="K881" s="60"/>
      <c r="L881" s="60"/>
      <c r="M881" s="60"/>
      <c r="N881" s="60"/>
      <c r="O881" s="60"/>
      <c r="P881" s="60"/>
      <c r="Q881" s="137" t="str">
        <f>$A874&amp;C881&amp;"INC"</f>
        <v>ENB2020INC</v>
      </c>
      <c r="R881" s="261">
        <f t="shared" si="479"/>
        <v>0.1634867190422746</v>
      </c>
    </row>
    <row r="882" spans="1:38" x14ac:dyDescent="0.4">
      <c r="A882" s="248"/>
      <c r="B882" s="243"/>
      <c r="C882" s="12"/>
      <c r="D882" s="245"/>
      <c r="E882" s="245"/>
      <c r="F882" s="245"/>
      <c r="G882" s="245"/>
      <c r="H882" s="245"/>
      <c r="I882" s="245"/>
      <c r="J882" s="245"/>
      <c r="K882" s="60"/>
      <c r="L882" s="60"/>
      <c r="M882" s="60"/>
      <c r="N882" s="60"/>
      <c r="O882" s="60"/>
      <c r="P882" s="60"/>
      <c r="R882" s="261"/>
      <c r="Y882" s="318" t="s">
        <v>523</v>
      </c>
      <c r="Z882" s="318"/>
      <c r="AA882" s="318"/>
      <c r="AB882" s="318"/>
      <c r="AC882" s="318"/>
      <c r="AD882" s="318"/>
      <c r="AE882" s="318"/>
    </row>
    <row r="883" spans="1:38" x14ac:dyDescent="0.4">
      <c r="A883" s="248"/>
      <c r="B883" s="243"/>
      <c r="C883" s="12">
        <v>2022</v>
      </c>
      <c r="D883" s="245">
        <f t="shared" ref="D883:D885" si="481">SUM(E883:J883)</f>
        <v>179608000</v>
      </c>
      <c r="E883" s="245">
        <f t="shared" ref="E883:J883" si="482">179608000*AG883</f>
        <v>51007571.587210417</v>
      </c>
      <c r="F883" s="245">
        <f t="shared" si="482"/>
        <v>30703236.224392112</v>
      </c>
      <c r="G883" s="245">
        <f t="shared" si="482"/>
        <v>5299175.3398430021</v>
      </c>
      <c r="H883" s="245">
        <f t="shared" si="482"/>
        <v>10316.369902354969</v>
      </c>
      <c r="I883" s="245">
        <f t="shared" si="482"/>
        <v>484869.38541068352</v>
      </c>
      <c r="J883" s="245">
        <f t="shared" si="482"/>
        <v>92102831.093241423</v>
      </c>
      <c r="K883" s="60"/>
      <c r="L883" s="60"/>
      <c r="M883" s="60"/>
      <c r="N883" s="60"/>
      <c r="O883" s="60"/>
      <c r="P883" s="60"/>
      <c r="Q883" s="137" t="str">
        <f>$A$874&amp;C883&amp;"ASSETS"</f>
        <v>ENB2022ASSETS</v>
      </c>
      <c r="R883" s="261">
        <f>F883/D883</f>
        <v>0.17094581658050928</v>
      </c>
      <c r="X883" s="137">
        <v>2022</v>
      </c>
      <c r="Y883" s="245">
        <f t="shared" ref="Y883:Y885" si="483">SUM(Z883:AE883)</f>
        <v>104460000</v>
      </c>
      <c r="Z883" s="245">
        <v>29666000</v>
      </c>
      <c r="AA883" s="245">
        <v>17857000</v>
      </c>
      <c r="AB883" s="245">
        <v>3082000</v>
      </c>
      <c r="AC883" s="245">
        <v>6000</v>
      </c>
      <c r="AD883" s="245">
        <v>282000</v>
      </c>
      <c r="AE883" s="245">
        <v>53567000</v>
      </c>
      <c r="AF883" s="263">
        <f>Y883/Y883</f>
        <v>1</v>
      </c>
      <c r="AG883" s="263">
        <f>Z883/Y883</f>
        <v>0.2839938732529198</v>
      </c>
      <c r="AH883" s="263">
        <f>AA883/Y883</f>
        <v>0.17094581658050928</v>
      </c>
      <c r="AI883" s="263">
        <f>AB883/Y883</f>
        <v>2.9504116408194524E-2</v>
      </c>
      <c r="AJ883" s="263">
        <f>AC883/Y883</f>
        <v>5.7438253877082139E-5</v>
      </c>
      <c r="AK883" s="263">
        <f>AD883/Y883</f>
        <v>2.6995979322228603E-3</v>
      </c>
      <c r="AL883" s="263">
        <f>AE883/Y883</f>
        <v>0.51279915757227645</v>
      </c>
    </row>
    <row r="884" spans="1:38" ht="14.4" x14ac:dyDescent="0.55000000000000004">
      <c r="A884" s="248"/>
      <c r="B884" s="243"/>
      <c r="C884" s="192">
        <v>2021</v>
      </c>
      <c r="D884" s="245">
        <f t="shared" si="481"/>
        <v>168864000</v>
      </c>
      <c r="E884" s="245">
        <f t="shared" ref="E884:J884" si="484">168864000*AG884</f>
        <v>45610003.217844039</v>
      </c>
      <c r="F884" s="245">
        <f t="shared" si="484"/>
        <v>28525658.368892841</v>
      </c>
      <c r="G884" s="245">
        <f t="shared" si="484"/>
        <v>5594093.5573165976</v>
      </c>
      <c r="H884" s="245">
        <f t="shared" si="484"/>
        <v>38812.71548062798</v>
      </c>
      <c r="I884" s="245">
        <f t="shared" si="484"/>
        <v>450565.00144902914</v>
      </c>
      <c r="J884" s="245">
        <f t="shared" si="484"/>
        <v>88644867.139016867</v>
      </c>
      <c r="K884" s="60"/>
      <c r="L884" s="60"/>
      <c r="M884" s="60"/>
      <c r="N884" s="60"/>
      <c r="O884" s="60"/>
      <c r="P884" s="60"/>
      <c r="Q884" s="137" t="str">
        <f>$A874&amp;C884&amp;"ASSETS"</f>
        <v>ENB2021ASSETS</v>
      </c>
      <c r="R884" s="261">
        <f>F884/D884</f>
        <v>0.16892681903124906</v>
      </c>
      <c r="X884" s="137">
        <v>2021</v>
      </c>
      <c r="Y884" s="245">
        <f t="shared" si="483"/>
        <v>100067000</v>
      </c>
      <c r="Z884" s="245">
        <v>27028000</v>
      </c>
      <c r="AA884" s="245">
        <v>16904000</v>
      </c>
      <c r="AB884" s="245">
        <v>3315000</v>
      </c>
      <c r="AC884" s="245">
        <v>23000</v>
      </c>
      <c r="AD884" s="245">
        <v>267000</v>
      </c>
      <c r="AE884" s="245">
        <v>52530000</v>
      </c>
      <c r="AF884" s="263">
        <f>Y884/Y884</f>
        <v>1</v>
      </c>
      <c r="AG884" s="263">
        <f>Z884/Y884</f>
        <v>0.27009903364745619</v>
      </c>
      <c r="AH884" s="263">
        <f>AA884/Y884</f>
        <v>0.16892681903124906</v>
      </c>
      <c r="AI884" s="263">
        <f>AB884/Y884</f>
        <v>3.3127804371071379E-2</v>
      </c>
      <c r="AJ884" s="263">
        <f>AC884/Y884</f>
        <v>2.2984600317787083E-4</v>
      </c>
      <c r="AK884" s="263">
        <f>AD884/Y884</f>
        <v>2.6682122977605004E-3</v>
      </c>
      <c r="AL884" s="263">
        <f>AE884/Y884</f>
        <v>0.524948284649285</v>
      </c>
    </row>
    <row r="885" spans="1:38" x14ac:dyDescent="0.4">
      <c r="A885" s="248"/>
      <c r="B885" s="243" t="s">
        <v>524</v>
      </c>
      <c r="C885" s="136">
        <v>2020</v>
      </c>
      <c r="D885" s="245">
        <f t="shared" si="481"/>
        <v>160276000.00000003</v>
      </c>
      <c r="E885" s="245">
        <f t="shared" ref="E885:J885" si="485">160276000*AG885</f>
        <v>43631828.150278628</v>
      </c>
      <c r="F885" s="245">
        <f t="shared" si="485"/>
        <v>27250190.904188387</v>
      </c>
      <c r="G885" s="245">
        <f t="shared" si="485"/>
        <v>5923217.6882976815</v>
      </c>
      <c r="H885" s="245">
        <f t="shared" si="485"/>
        <v>40674.456228653609</v>
      </c>
      <c r="I885" s="245">
        <f t="shared" si="485"/>
        <v>727055.90508718323</v>
      </c>
      <c r="J885" s="245">
        <f t="shared" si="485"/>
        <v>82703032.895919472</v>
      </c>
      <c r="K885" s="60"/>
      <c r="L885" s="60"/>
      <c r="M885" s="60"/>
      <c r="N885" s="60"/>
      <c r="O885" s="60"/>
      <c r="P885" s="60"/>
      <c r="Q885" s="137" t="str">
        <f>$A874&amp;C885&amp;"ASSETS"</f>
        <v>ENB2020ASSETS</v>
      </c>
      <c r="R885" s="261">
        <f t="shared" si="479"/>
        <v>0.17002040794746801</v>
      </c>
      <c r="X885" s="137">
        <v>2020</v>
      </c>
      <c r="Y885" s="245">
        <f t="shared" si="483"/>
        <v>94571000</v>
      </c>
      <c r="Z885" s="245">
        <v>25745000</v>
      </c>
      <c r="AA885" s="245">
        <v>16079000</v>
      </c>
      <c r="AB885" s="245">
        <v>3495000</v>
      </c>
      <c r="AC885" s="245">
        <v>24000</v>
      </c>
      <c r="AD885" s="245">
        <v>429000</v>
      </c>
      <c r="AE885" s="245">
        <v>48799000</v>
      </c>
      <c r="AF885" s="263">
        <f>Y885/Y885</f>
        <v>1</v>
      </c>
      <c r="AG885" s="263">
        <f>Z885/Y885</f>
        <v>0.27222933034439734</v>
      </c>
      <c r="AH885" s="263">
        <f>AA885/Y885</f>
        <v>0.17002040794746803</v>
      </c>
      <c r="AI885" s="263">
        <f>AB885/Y885</f>
        <v>3.6956360829429741E-2</v>
      </c>
      <c r="AJ885" s="263">
        <f>AC885/Y885</f>
        <v>2.5377758509479651E-4</v>
      </c>
      <c r="AK885" s="263">
        <f>AD885/Y885</f>
        <v>4.5362743335694879E-3</v>
      </c>
      <c r="AL885" s="263">
        <f>AE885/Y885</f>
        <v>0.51600384896004059</v>
      </c>
    </row>
    <row r="886" spans="1:38" x14ac:dyDescent="0.4">
      <c r="B886" s="137"/>
      <c r="E886" s="137"/>
      <c r="F886" s="137"/>
      <c r="G886" s="137"/>
      <c r="H886" s="137"/>
      <c r="I886" s="137"/>
      <c r="J886" s="137"/>
      <c r="K886" s="137"/>
      <c r="L886" s="137"/>
      <c r="M886" s="137"/>
    </row>
    <row r="887" spans="1:38" x14ac:dyDescent="0.4">
      <c r="A887" s="248"/>
      <c r="B887" s="60"/>
      <c r="C887" s="244"/>
      <c r="D887" s="245"/>
      <c r="E887" s="245"/>
      <c r="F887" s="245"/>
      <c r="G887" s="245"/>
      <c r="H887" s="245"/>
      <c r="I887" s="245"/>
      <c r="J887" s="245"/>
      <c r="K887" s="60"/>
      <c r="L887" s="60"/>
      <c r="M887" s="60"/>
      <c r="N887" s="60"/>
      <c r="O887" s="60"/>
      <c r="P887" s="60"/>
    </row>
    <row r="888" spans="1:38" x14ac:dyDescent="0.4">
      <c r="A888" s="248" t="s">
        <v>525</v>
      </c>
      <c r="B888" s="243"/>
      <c r="C888" s="244"/>
      <c r="D888" s="245"/>
      <c r="E888" s="245"/>
      <c r="F888" s="245"/>
      <c r="G888" s="245"/>
      <c r="H888" s="245"/>
      <c r="I888" s="245"/>
      <c r="J888" s="245"/>
      <c r="K888" s="60"/>
      <c r="L888" s="60"/>
      <c r="M888" s="60"/>
      <c r="N888" s="60"/>
      <c r="O888" s="60"/>
      <c r="P888" s="60"/>
      <c r="Q888" s="60"/>
    </row>
    <row r="889" spans="1:38" ht="12.6" x14ac:dyDescent="0.45">
      <c r="A889" s="246" t="s">
        <v>526</v>
      </c>
      <c r="B889" s="243"/>
      <c r="C889" s="244"/>
      <c r="D889" s="245"/>
      <c r="E889" s="245"/>
      <c r="F889" s="245"/>
      <c r="G889" s="245"/>
      <c r="H889" s="245"/>
      <c r="I889" s="245"/>
      <c r="J889" s="245"/>
      <c r="K889" s="60"/>
      <c r="L889" s="60"/>
      <c r="M889" s="60"/>
      <c r="N889" s="60"/>
      <c r="O889" s="60"/>
      <c r="P889" s="60"/>
      <c r="Q889" s="60"/>
    </row>
    <row r="890" spans="1:38" ht="36.9" x14ac:dyDescent="0.4">
      <c r="A890" s="248" t="s">
        <v>527</v>
      </c>
      <c r="B890" s="243"/>
      <c r="C890" s="244"/>
      <c r="D890" s="249" t="s">
        <v>96</v>
      </c>
      <c r="E890" s="258" t="s">
        <v>528</v>
      </c>
      <c r="F890" s="258" t="s">
        <v>529</v>
      </c>
      <c r="G890" s="258" t="s">
        <v>530</v>
      </c>
      <c r="H890" s="258" t="s">
        <v>531</v>
      </c>
      <c r="I890" s="260" t="s">
        <v>532</v>
      </c>
      <c r="J890" s="260" t="s">
        <v>533</v>
      </c>
      <c r="K890" s="252" t="s">
        <v>534</v>
      </c>
      <c r="L890" s="252" t="s">
        <v>535</v>
      </c>
      <c r="M890" s="252" t="s">
        <v>536</v>
      </c>
      <c r="N890" s="252" t="s">
        <v>165</v>
      </c>
      <c r="O890" s="252"/>
      <c r="P890" s="252"/>
      <c r="Q890" s="252"/>
      <c r="R890" s="21" t="s">
        <v>102</v>
      </c>
      <c r="S890" s="21" t="s">
        <v>489</v>
      </c>
      <c r="T890" s="21" t="s">
        <v>104</v>
      </c>
    </row>
    <row r="891" spans="1:38" ht="14.4" x14ac:dyDescent="0.55000000000000004">
      <c r="A891" s="248"/>
      <c r="B891" s="243"/>
      <c r="C891" s="192">
        <v>2022</v>
      </c>
      <c r="D891" s="249">
        <f>SUM(E891:N891)</f>
        <v>11043</v>
      </c>
      <c r="E891" s="258">
        <v>1906</v>
      </c>
      <c r="F891" s="258">
        <v>2758</v>
      </c>
      <c r="G891" s="258">
        <v>1325</v>
      </c>
      <c r="H891" s="258">
        <v>2084</v>
      </c>
      <c r="I891" s="262">
        <v>680</v>
      </c>
      <c r="J891" s="262">
        <v>487</v>
      </c>
      <c r="K891" s="262">
        <v>1652</v>
      </c>
      <c r="L891" s="262">
        <v>151</v>
      </c>
      <c r="M891" s="262">
        <v>0</v>
      </c>
      <c r="N891" s="262">
        <v>0</v>
      </c>
      <c r="O891" s="252"/>
      <c r="P891" s="252"/>
      <c r="Q891" s="137" t="str">
        <f>$A$890&amp;C891&amp;"REV"</f>
        <v>FTS2022REV</v>
      </c>
      <c r="R891" s="264">
        <f>SUM(E891:K891)/D891</f>
        <v>0.98632617948021373</v>
      </c>
      <c r="S891" s="22"/>
      <c r="T891" s="22"/>
    </row>
    <row r="892" spans="1:38" ht="14.4" x14ac:dyDescent="0.55000000000000004">
      <c r="A892" s="248"/>
      <c r="B892" s="11" t="s">
        <v>537</v>
      </c>
      <c r="C892" s="192">
        <v>2021</v>
      </c>
      <c r="D892" s="249">
        <f>SUM(E892:N892)</f>
        <v>9448</v>
      </c>
      <c r="E892" s="258">
        <v>1691</v>
      </c>
      <c r="F892" s="258">
        <v>2334</v>
      </c>
      <c r="G892" s="258">
        <v>1000</v>
      </c>
      <c r="H892" s="258">
        <v>1715</v>
      </c>
      <c r="I892" s="262">
        <v>644</v>
      </c>
      <c r="J892" s="262">
        <v>468</v>
      </c>
      <c r="K892" s="262">
        <v>1498</v>
      </c>
      <c r="L892" s="262">
        <v>98</v>
      </c>
      <c r="M892" s="262">
        <v>0</v>
      </c>
      <c r="N892" s="262">
        <v>0</v>
      </c>
      <c r="O892" s="252"/>
      <c r="P892" s="252"/>
      <c r="Q892" s="137" t="str">
        <f>$A$890&amp;C892&amp;"REV"</f>
        <v>FTS2021REV</v>
      </c>
      <c r="R892" s="265">
        <f>SUM(E892:K892)/D892</f>
        <v>0.98962743437764611</v>
      </c>
    </row>
    <row r="893" spans="1:38" x14ac:dyDescent="0.4">
      <c r="A893" s="248"/>
      <c r="B893" s="137"/>
      <c r="C893" s="88">
        <v>2020</v>
      </c>
      <c r="D893" s="249">
        <f t="shared" ref="D893" si="486">SUM(E893:N893)</f>
        <v>8935</v>
      </c>
      <c r="E893" s="258">
        <v>1744</v>
      </c>
      <c r="F893" s="258">
        <v>2260</v>
      </c>
      <c r="G893" s="258">
        <v>953</v>
      </c>
      <c r="H893" s="258">
        <v>1385</v>
      </c>
      <c r="I893" s="258">
        <v>596</v>
      </c>
      <c r="J893" s="258">
        <v>424</v>
      </c>
      <c r="K893" s="258">
        <v>1485</v>
      </c>
      <c r="L893" s="258">
        <v>88</v>
      </c>
      <c r="M893" s="258">
        <v>0</v>
      </c>
      <c r="N893" s="258">
        <v>0</v>
      </c>
      <c r="O893" s="252"/>
      <c r="P893" s="252"/>
      <c r="Q893" s="137" t="str">
        <f t="shared" ref="Q893" si="487">$A$890&amp;C893&amp;"REV"</f>
        <v>FTS2020REV</v>
      </c>
      <c r="R893" s="265">
        <f t="shared" ref="R893" si="488">SUM(E893:K893)/D893</f>
        <v>0.99015109121432565</v>
      </c>
    </row>
    <row r="894" spans="1:38" x14ac:dyDescent="0.4">
      <c r="A894" s="248"/>
      <c r="B894" s="243"/>
      <c r="C894" s="12"/>
      <c r="D894" s="249"/>
      <c r="E894" s="258"/>
      <c r="F894" s="258"/>
      <c r="G894" s="258"/>
      <c r="H894" s="258"/>
      <c r="I894" s="260"/>
      <c r="J894" s="260"/>
      <c r="K894" s="252"/>
      <c r="L894" s="252"/>
      <c r="M894" s="252"/>
      <c r="N894" s="252"/>
      <c r="O894" s="252"/>
      <c r="P894" s="252"/>
      <c r="Q894" s="252"/>
    </row>
    <row r="895" spans="1:38" ht="14.4" x14ac:dyDescent="0.55000000000000004">
      <c r="A895" s="248"/>
      <c r="B895" s="243"/>
      <c r="C895" s="12">
        <v>2022</v>
      </c>
      <c r="D895" s="266">
        <f>SUM(E895:N895)</f>
        <v>2740</v>
      </c>
      <c r="E895" s="258">
        <v>1040</v>
      </c>
      <c r="F895" s="258">
        <v>489</v>
      </c>
      <c r="G895" s="258">
        <v>125</v>
      </c>
      <c r="H895" s="258">
        <v>367</v>
      </c>
      <c r="I895" s="266">
        <v>271</v>
      </c>
      <c r="J895" s="266">
        <v>146</v>
      </c>
      <c r="K895" s="266">
        <v>235</v>
      </c>
      <c r="L895" s="266">
        <v>89</v>
      </c>
      <c r="M895" s="266">
        <v>0</v>
      </c>
      <c r="N895" s="266">
        <v>-22</v>
      </c>
      <c r="O895" s="252"/>
      <c r="P895" s="252"/>
      <c r="Q895" s="137" t="str">
        <f>$A890&amp;C895&amp;"INC"</f>
        <v>FTS2022INC</v>
      </c>
      <c r="R895" s="264">
        <f>SUM(E895:K895)/D895</f>
        <v>0.97554744525547443</v>
      </c>
    </row>
    <row r="896" spans="1:38" ht="14.4" x14ac:dyDescent="0.55000000000000004">
      <c r="A896" s="248"/>
      <c r="B896" s="243" t="s">
        <v>538</v>
      </c>
      <c r="C896" s="192">
        <v>2021</v>
      </c>
      <c r="D896" s="245">
        <f>SUM(E896:N896)</f>
        <v>2489</v>
      </c>
      <c r="E896" s="262">
        <v>934</v>
      </c>
      <c r="F896" s="262">
        <v>442</v>
      </c>
      <c r="G896" s="262">
        <v>126</v>
      </c>
      <c r="H896" s="262">
        <v>366</v>
      </c>
      <c r="I896" s="266">
        <v>256</v>
      </c>
      <c r="J896" s="266">
        <v>139</v>
      </c>
      <c r="K896" s="266">
        <v>221</v>
      </c>
      <c r="L896" s="266">
        <v>45</v>
      </c>
      <c r="M896" s="266"/>
      <c r="N896" s="266">
        <v>-40</v>
      </c>
      <c r="O896" s="60"/>
      <c r="P896" s="60"/>
      <c r="Q896" s="137" t="str">
        <f>$A890&amp;C896&amp;"INC"</f>
        <v>FTS2021INC</v>
      </c>
      <c r="R896" s="265">
        <f>SUM(E896:K896)/D896</f>
        <v>0.99799116110887909</v>
      </c>
    </row>
    <row r="897" spans="1:20" x14ac:dyDescent="0.4">
      <c r="A897" s="248"/>
      <c r="B897" s="137"/>
      <c r="C897" s="88">
        <v>2020</v>
      </c>
      <c r="D897" s="245">
        <f>SUM(E897:N897)</f>
        <v>2508</v>
      </c>
      <c r="E897" s="245">
        <v>1011</v>
      </c>
      <c r="F897" s="245">
        <v>456</v>
      </c>
      <c r="G897" s="245">
        <v>128</v>
      </c>
      <c r="H897" s="245">
        <v>339</v>
      </c>
      <c r="I897" s="245">
        <v>236</v>
      </c>
      <c r="J897" s="245">
        <v>127</v>
      </c>
      <c r="K897" s="245">
        <v>215</v>
      </c>
      <c r="L897" s="245">
        <v>39</v>
      </c>
      <c r="M897" s="245">
        <v>0</v>
      </c>
      <c r="N897" s="245">
        <v>-43</v>
      </c>
      <c r="O897" s="60"/>
      <c r="P897" s="60"/>
      <c r="Q897" s="137" t="str">
        <f>$A890&amp;C897&amp;"INC"</f>
        <v>FTS2020INC</v>
      </c>
      <c r="R897" s="265">
        <f t="shared" ref="R897" si="489">SUM(E897:K897)/D897</f>
        <v>1.0015948963317385</v>
      </c>
    </row>
    <row r="898" spans="1:20" x14ac:dyDescent="0.4">
      <c r="A898" s="248"/>
      <c r="B898" s="243"/>
      <c r="C898" s="12"/>
      <c r="D898" s="245"/>
      <c r="E898" s="245"/>
      <c r="F898" s="245"/>
      <c r="G898" s="245"/>
      <c r="H898" s="245"/>
      <c r="I898" s="245"/>
      <c r="J898" s="245"/>
      <c r="K898" s="60"/>
      <c r="L898" s="60"/>
      <c r="M898" s="60"/>
      <c r="N898" s="60"/>
      <c r="O898" s="60"/>
      <c r="P898" s="60"/>
    </row>
    <row r="899" spans="1:20" ht="14.4" x14ac:dyDescent="0.55000000000000004">
      <c r="A899" s="248"/>
      <c r="B899" s="243"/>
      <c r="C899" s="12">
        <v>2022</v>
      </c>
      <c r="D899" s="245">
        <f>SUM(E899:N899)</f>
        <v>64252</v>
      </c>
      <c r="E899" s="245">
        <v>23478</v>
      </c>
      <c r="F899" s="245">
        <v>12678</v>
      </c>
      <c r="G899" s="245">
        <v>5131</v>
      </c>
      <c r="H899" s="245">
        <v>8875</v>
      </c>
      <c r="I899" s="245">
        <v>5547</v>
      </c>
      <c r="J899" s="245">
        <v>2596</v>
      </c>
      <c r="K899" s="266">
        <v>4916</v>
      </c>
      <c r="L899" s="266">
        <v>884</v>
      </c>
      <c r="M899" s="266">
        <v>-12</v>
      </c>
      <c r="N899" s="266">
        <v>159</v>
      </c>
      <c r="O899" s="60"/>
      <c r="P899" s="60"/>
      <c r="Q899" s="137" t="str">
        <f>$A890&amp;C899&amp;"ASSETS"</f>
        <v>FTS2022ASSETS</v>
      </c>
      <c r="R899" s="264">
        <f>SUM(E899:K899)/D899</f>
        <v>0.9839538068853888</v>
      </c>
    </row>
    <row r="900" spans="1:20" ht="14.4" x14ac:dyDescent="0.55000000000000004">
      <c r="A900" s="248"/>
      <c r="B900" s="243" t="s">
        <v>539</v>
      </c>
      <c r="C900" s="192">
        <v>2021</v>
      </c>
      <c r="D900" s="245">
        <f t="shared" ref="D900:D901" si="490">SUM(E900:N900)</f>
        <v>57583</v>
      </c>
      <c r="E900" s="245">
        <v>21020</v>
      </c>
      <c r="F900" s="245">
        <v>11126</v>
      </c>
      <c r="G900" s="245">
        <v>4356</v>
      </c>
      <c r="H900" s="245">
        <v>8135</v>
      </c>
      <c r="I900" s="245">
        <v>5201</v>
      </c>
      <c r="J900" s="245">
        <v>2540</v>
      </c>
      <c r="K900" s="266">
        <v>4357</v>
      </c>
      <c r="L900" s="266">
        <v>777</v>
      </c>
      <c r="M900" s="266">
        <v>-148</v>
      </c>
      <c r="N900" s="266">
        <v>219</v>
      </c>
      <c r="O900" s="60"/>
      <c r="P900" s="60"/>
      <c r="Q900" s="137" t="str">
        <f>$A890&amp;C900&amp;"ASSETS"</f>
        <v>FTS2021ASSETS</v>
      </c>
      <c r="R900" s="265">
        <f>SUM(E900:K900)/D900</f>
        <v>0.98527343139468249</v>
      </c>
    </row>
    <row r="901" spans="1:20" x14ac:dyDescent="0.4">
      <c r="A901" s="248"/>
      <c r="B901" s="137"/>
      <c r="C901" s="88">
        <v>2020</v>
      </c>
      <c r="D901" s="245">
        <f t="shared" si="490"/>
        <v>55481</v>
      </c>
      <c r="E901" s="245">
        <v>20358</v>
      </c>
      <c r="F901" s="245">
        <v>10802</v>
      </c>
      <c r="G901" s="245">
        <v>3939</v>
      </c>
      <c r="H901" s="245">
        <v>7695</v>
      </c>
      <c r="I901" s="245">
        <v>5084</v>
      </c>
      <c r="J901" s="245">
        <v>2441</v>
      </c>
      <c r="K901" s="245">
        <v>4261</v>
      </c>
      <c r="L901" s="245">
        <v>745</v>
      </c>
      <c r="M901" s="245">
        <v>-53</v>
      </c>
      <c r="N901" s="245">
        <v>209</v>
      </c>
      <c r="O901" s="60"/>
      <c r="P901" s="60"/>
      <c r="Q901" s="137" t="str">
        <f>$A890&amp;C901&amp;"ASSETS"</f>
        <v>FTS2020ASSETS</v>
      </c>
      <c r="R901" s="265">
        <f t="shared" ref="R901" si="491">SUM(E901:K901)/D901</f>
        <v>0.983760206196716</v>
      </c>
    </row>
    <row r="902" spans="1:20" x14ac:dyDescent="0.4">
      <c r="B902" s="137"/>
      <c r="E902" s="137"/>
      <c r="F902" s="137"/>
      <c r="G902" s="137"/>
      <c r="H902" s="137"/>
      <c r="I902" s="137"/>
      <c r="J902" s="137"/>
      <c r="K902" s="137"/>
      <c r="L902" s="137"/>
      <c r="M902" s="137"/>
    </row>
    <row r="903" spans="1:20" x14ac:dyDescent="0.4">
      <c r="B903" s="137"/>
      <c r="E903" s="137"/>
      <c r="F903" s="137"/>
      <c r="G903" s="137"/>
      <c r="H903" s="137"/>
      <c r="I903" s="137"/>
      <c r="J903" s="137"/>
      <c r="K903" s="137"/>
      <c r="L903" s="137"/>
      <c r="M903" s="137"/>
    </row>
    <row r="904" spans="1:20" ht="12.6" x14ac:dyDescent="0.45">
      <c r="A904" s="248" t="s">
        <v>540</v>
      </c>
      <c r="B904" s="243"/>
      <c r="C904" s="244"/>
      <c r="D904" s="267"/>
      <c r="E904" s="245"/>
      <c r="F904" s="245"/>
      <c r="G904" s="268"/>
      <c r="H904" s="268"/>
      <c r="I904" s="268"/>
      <c r="J904" s="268"/>
      <c r="K904" s="60"/>
      <c r="L904" s="60"/>
      <c r="M904" s="60"/>
      <c r="N904" s="60"/>
      <c r="O904" s="60"/>
      <c r="P904" s="60"/>
      <c r="Q904" s="60"/>
    </row>
    <row r="905" spans="1:20" ht="12.6" x14ac:dyDescent="0.45">
      <c r="A905" s="134" t="s">
        <v>541</v>
      </c>
      <c r="B905" s="137"/>
      <c r="D905" s="269"/>
      <c r="E905" s="269"/>
      <c r="F905" s="269"/>
      <c r="G905" s="269"/>
      <c r="H905" s="269"/>
      <c r="I905" s="270"/>
      <c r="J905" s="269"/>
      <c r="K905" s="60"/>
      <c r="L905" s="60"/>
      <c r="M905" s="60"/>
      <c r="N905" s="60"/>
      <c r="O905" s="60"/>
      <c r="P905" s="60"/>
      <c r="Q905" s="60"/>
    </row>
    <row r="906" spans="1:20" x14ac:dyDescent="0.4">
      <c r="A906" s="172" t="s">
        <v>542</v>
      </c>
      <c r="B906" s="135" t="s">
        <v>494</v>
      </c>
      <c r="D906" s="271" t="s">
        <v>96</v>
      </c>
      <c r="E906" s="250" t="s">
        <v>543</v>
      </c>
      <c r="F906" s="250" t="s">
        <v>373</v>
      </c>
      <c r="G906" s="250" t="s">
        <v>130</v>
      </c>
      <c r="H906" s="250"/>
      <c r="I906" s="250"/>
      <c r="J906" s="250"/>
      <c r="K906" s="250"/>
      <c r="L906" s="60"/>
      <c r="M906" s="60"/>
      <c r="N906" s="60"/>
      <c r="O906" s="60"/>
      <c r="P906" s="60"/>
      <c r="Q906" s="252"/>
      <c r="S906" s="137" t="s">
        <v>102</v>
      </c>
      <c r="T906" s="137" t="s">
        <v>544</v>
      </c>
    </row>
    <row r="907" spans="1:20" ht="14.4" x14ac:dyDescent="0.55000000000000004">
      <c r="A907" s="172"/>
      <c r="C907" s="192">
        <v>2022</v>
      </c>
      <c r="D907" s="271">
        <f>SUM(E907:G907)</f>
        <v>7780</v>
      </c>
      <c r="E907" s="250">
        <v>2077</v>
      </c>
      <c r="F907" s="250">
        <v>5660</v>
      </c>
      <c r="G907" s="250">
        <v>43</v>
      </c>
      <c r="H907" s="250"/>
      <c r="I907" s="250"/>
      <c r="J907" s="250"/>
      <c r="K907" s="250"/>
      <c r="L907" s="60"/>
      <c r="M907" s="60"/>
      <c r="N907" s="60"/>
      <c r="O907" s="60"/>
      <c r="P907" s="60"/>
      <c r="Q907" s="137" t="str">
        <f>$A$906&amp;C907&amp;"REV"</f>
        <v>H2022REV</v>
      </c>
      <c r="R907" s="272">
        <f>SUM(E907:F907)/D907</f>
        <v>0.99447300771208225</v>
      </c>
    </row>
    <row r="908" spans="1:20" x14ac:dyDescent="0.4">
      <c r="A908" s="172"/>
      <c r="B908" s="11" t="s">
        <v>107</v>
      </c>
      <c r="C908" s="12">
        <v>2021</v>
      </c>
      <c r="D908" s="271">
        <f>SUM(E908:G908)</f>
        <v>7225</v>
      </c>
      <c r="E908" s="250">
        <v>1824</v>
      </c>
      <c r="F908" s="250">
        <v>5359</v>
      </c>
      <c r="G908" s="250">
        <v>42</v>
      </c>
      <c r="H908" s="250"/>
      <c r="I908" s="250"/>
      <c r="J908" s="250"/>
      <c r="K908" s="250"/>
      <c r="L908" s="250"/>
      <c r="M908" s="250"/>
      <c r="N908" s="60"/>
      <c r="O908" s="60"/>
      <c r="P908" s="60"/>
      <c r="Q908" s="137" t="str">
        <f>$A$906&amp;C908&amp;"REV"</f>
        <v>H2021REV</v>
      </c>
      <c r="R908" s="273">
        <f>SUM(E908:F908)/D908</f>
        <v>0.99418685121107264</v>
      </c>
    </row>
    <row r="909" spans="1:20" x14ac:dyDescent="0.4">
      <c r="A909" s="172"/>
      <c r="B909" s="11"/>
      <c r="C909" s="88">
        <v>2020</v>
      </c>
      <c r="D909" s="271">
        <f>SUM(E909:G909)</f>
        <v>7290</v>
      </c>
      <c r="E909" s="250">
        <v>1740</v>
      </c>
      <c r="F909" s="250">
        <v>5507</v>
      </c>
      <c r="G909" s="250">
        <v>43</v>
      </c>
      <c r="H909" s="250"/>
      <c r="I909" s="250"/>
      <c r="J909" s="250"/>
      <c r="K909" s="250"/>
      <c r="L909" s="250"/>
      <c r="M909" s="250"/>
      <c r="N909" s="60"/>
      <c r="O909" s="60"/>
      <c r="P909" s="60"/>
      <c r="Q909" s="137" t="str">
        <f>$A$906&amp;C909&amp;"REV"</f>
        <v>H2020REV</v>
      </c>
      <c r="R909" s="273">
        <f t="shared" ref="R909" si="492">SUM(E909:F909)/D909</f>
        <v>0.99410150891632376</v>
      </c>
    </row>
    <row r="910" spans="1:20" x14ac:dyDescent="0.4">
      <c r="A910" s="172"/>
      <c r="D910" s="271"/>
      <c r="E910" s="250"/>
      <c r="F910" s="250"/>
      <c r="G910" s="271"/>
      <c r="H910" s="250"/>
      <c r="I910" s="250"/>
      <c r="J910" s="250"/>
      <c r="K910" s="60"/>
      <c r="L910" s="60"/>
      <c r="M910" s="60"/>
      <c r="N910" s="60"/>
      <c r="O910" s="60"/>
      <c r="P910" s="60"/>
      <c r="Q910" s="252"/>
      <c r="R910" s="273"/>
    </row>
    <row r="911" spans="1:20" ht="14.4" x14ac:dyDescent="0.55000000000000004">
      <c r="A911" s="172"/>
      <c r="B911" s="60"/>
      <c r="C911" s="192">
        <v>2022</v>
      </c>
      <c r="D911" s="271">
        <f>SUM(E911:G911)</f>
        <v>1832</v>
      </c>
      <c r="E911" s="250">
        <v>1123</v>
      </c>
      <c r="F911" s="250">
        <v>749</v>
      </c>
      <c r="G911" s="271">
        <v>-40</v>
      </c>
      <c r="H911" s="250"/>
      <c r="I911" s="250"/>
      <c r="J911" s="250"/>
      <c r="K911" s="60"/>
      <c r="L911" s="60"/>
      <c r="M911" s="60"/>
      <c r="N911" s="60"/>
      <c r="O911" s="60"/>
      <c r="P911" s="60"/>
      <c r="Q911" s="137" t="str">
        <f>$A906&amp;C911&amp;"INC"</f>
        <v>H2022INC</v>
      </c>
      <c r="R911" s="273">
        <f>SUM(E911:F911)/D911</f>
        <v>1.0218340611353711</v>
      </c>
    </row>
    <row r="912" spans="1:20" ht="14.4" x14ac:dyDescent="0.55000000000000004">
      <c r="A912" s="172"/>
      <c r="B912" s="135" t="s">
        <v>109</v>
      </c>
      <c r="C912" s="192">
        <v>2021</v>
      </c>
      <c r="D912" s="271">
        <f>SUM(E912:G912)</f>
        <v>1612</v>
      </c>
      <c r="E912" s="250">
        <v>942</v>
      </c>
      <c r="F912" s="250">
        <v>694</v>
      </c>
      <c r="G912" s="274">
        <v>-24</v>
      </c>
      <c r="H912" s="250"/>
      <c r="I912" s="250"/>
      <c r="J912" s="250"/>
      <c r="K912" s="250"/>
      <c r="L912" s="250"/>
      <c r="M912" s="250"/>
      <c r="N912" s="60"/>
      <c r="O912" s="60"/>
      <c r="P912" s="60"/>
      <c r="Q912" s="137" t="str">
        <f>$A906&amp;C912&amp;"INC"</f>
        <v>H2021INC</v>
      </c>
      <c r="R912" s="273">
        <f>SUM(E912:F912)/D912</f>
        <v>1.0148883374689825</v>
      </c>
    </row>
    <row r="913" spans="1:18" x14ac:dyDescent="0.4">
      <c r="A913" s="172"/>
      <c r="C913" s="88">
        <v>2020</v>
      </c>
      <c r="D913" s="271">
        <f>SUM(E913:G913)</f>
        <v>1482</v>
      </c>
      <c r="E913" s="250">
        <v>890</v>
      </c>
      <c r="F913" s="250">
        <v>617</v>
      </c>
      <c r="G913" s="250">
        <v>-25</v>
      </c>
      <c r="H913" s="250"/>
      <c r="I913" s="250"/>
      <c r="J913" s="250"/>
      <c r="K913" s="250"/>
      <c r="L913" s="250"/>
      <c r="M913" s="250"/>
      <c r="N913" s="60"/>
      <c r="O913" s="60"/>
      <c r="P913" s="60"/>
      <c r="Q913" s="137" t="str">
        <f>$A906&amp;C913&amp;"INC"</f>
        <v>H2020INC</v>
      </c>
      <c r="R913" s="273">
        <f t="shared" ref="R913" si="493">SUM(E913:F913)/D913</f>
        <v>1.0168690958164643</v>
      </c>
    </row>
    <row r="914" spans="1:18" x14ac:dyDescent="0.4">
      <c r="A914" s="172"/>
      <c r="C914" s="244"/>
      <c r="D914" s="247"/>
      <c r="E914" s="247"/>
      <c r="F914" s="247"/>
      <c r="G914" s="247"/>
      <c r="H914" s="247"/>
      <c r="I914" s="247"/>
      <c r="J914" s="247"/>
      <c r="K914" s="60"/>
      <c r="L914" s="60"/>
      <c r="M914" s="60"/>
      <c r="N914" s="60"/>
      <c r="O914" s="60"/>
      <c r="P914" s="60"/>
      <c r="R914" s="273"/>
    </row>
    <row r="915" spans="1:18" ht="14.4" x14ac:dyDescent="0.55000000000000004">
      <c r="A915" s="172"/>
      <c r="C915" s="192">
        <v>2022</v>
      </c>
      <c r="D915" s="274">
        <f>SUM(E915:G915)</f>
        <v>31457</v>
      </c>
      <c r="E915" s="247">
        <v>18778</v>
      </c>
      <c r="F915" s="247">
        <v>11893</v>
      </c>
      <c r="G915" s="247">
        <v>786</v>
      </c>
      <c r="H915" s="247"/>
      <c r="I915" s="247"/>
      <c r="J915" s="247"/>
      <c r="K915" s="60"/>
      <c r="L915" s="60"/>
      <c r="M915" s="60"/>
      <c r="N915" s="60"/>
      <c r="O915" s="60"/>
      <c r="P915" s="60"/>
      <c r="Q915" s="137" t="str">
        <f>$A906&amp;C915&amp;"ASSETS"</f>
        <v>H2022ASSETS</v>
      </c>
      <c r="R915" s="273">
        <f>SUM(E915:F915)/D915</f>
        <v>0.97501351050640561</v>
      </c>
    </row>
    <row r="916" spans="1:18" ht="14.4" x14ac:dyDescent="0.55000000000000004">
      <c r="A916" s="172"/>
      <c r="B916" s="135" t="s">
        <v>545</v>
      </c>
      <c r="C916" s="192">
        <v>2021</v>
      </c>
      <c r="D916" s="271">
        <f>SUM(E916:G916)</f>
        <v>36657</v>
      </c>
      <c r="E916" s="266">
        <v>18138</v>
      </c>
      <c r="F916" s="266">
        <v>17761</v>
      </c>
      <c r="G916" s="266">
        <v>758</v>
      </c>
      <c r="H916" s="250"/>
      <c r="I916" s="250"/>
      <c r="J916" s="250"/>
      <c r="K916" s="250"/>
      <c r="L916" s="250"/>
      <c r="M916" s="250"/>
      <c r="N916" s="60"/>
      <c r="O916" s="60"/>
      <c r="P916" s="60"/>
      <c r="Q916" s="137" t="str">
        <f>$A906&amp;C916&amp;"ASSETS"</f>
        <v>H2021ASSETS</v>
      </c>
      <c r="R916" s="273">
        <f>SUM(E916:F916)/D916</f>
        <v>0.97932182120740918</v>
      </c>
    </row>
    <row r="917" spans="1:18" x14ac:dyDescent="0.4">
      <c r="A917" s="172"/>
      <c r="B917" s="137"/>
      <c r="C917" s="88">
        <v>2020</v>
      </c>
      <c r="D917" s="271">
        <f>SUM(E917:G917)</f>
        <v>30294</v>
      </c>
      <c r="E917" s="250">
        <v>17761</v>
      </c>
      <c r="F917" s="250">
        <v>11387</v>
      </c>
      <c r="G917" s="250">
        <v>1146</v>
      </c>
      <c r="H917" s="250"/>
      <c r="I917" s="250"/>
      <c r="J917" s="250"/>
      <c r="K917" s="250"/>
      <c r="L917" s="250"/>
      <c r="M917" s="250"/>
      <c r="N917" s="60"/>
      <c r="O917" s="60"/>
      <c r="P917" s="60"/>
      <c r="Q917" s="137" t="str">
        <f>$A906&amp;C917&amp;"ASSETS"</f>
        <v>H2020ASSETS</v>
      </c>
      <c r="R917" s="273">
        <f t="shared" ref="R917" si="494">SUM(E917:F917)/D917</f>
        <v>0.96217072687660921</v>
      </c>
    </row>
    <row r="918" spans="1:18" x14ac:dyDescent="0.4">
      <c r="B918" s="137"/>
      <c r="E918" s="137"/>
      <c r="F918" s="137"/>
      <c r="G918" s="137"/>
      <c r="H918" s="137"/>
      <c r="I918" s="137"/>
      <c r="J918" s="137"/>
      <c r="K918" s="137"/>
      <c r="L918" s="137"/>
      <c r="M918" s="137"/>
    </row>
    <row r="919" spans="1:18" x14ac:dyDescent="0.4">
      <c r="B919" s="137"/>
      <c r="E919" s="137"/>
      <c r="F919" s="137"/>
      <c r="G919" s="137"/>
      <c r="H919" s="137"/>
      <c r="I919" s="137"/>
      <c r="J919" s="137"/>
      <c r="K919" s="137"/>
      <c r="L919" s="137"/>
      <c r="M919" s="137"/>
    </row>
    <row r="920" spans="1:18" ht="12.6" x14ac:dyDescent="0.45">
      <c r="A920" s="248" t="s">
        <v>546</v>
      </c>
      <c r="B920" s="243"/>
      <c r="C920" s="244"/>
      <c r="D920" s="267"/>
      <c r="E920" s="245"/>
      <c r="F920" s="245"/>
      <c r="G920" s="268"/>
      <c r="H920" s="268"/>
      <c r="I920" s="268"/>
      <c r="J920" s="268"/>
      <c r="K920" s="60"/>
      <c r="L920" s="60"/>
      <c r="M920" s="60"/>
      <c r="N920" s="60"/>
      <c r="O920" s="60"/>
      <c r="P920" s="60"/>
      <c r="Q920" s="60"/>
    </row>
    <row r="921" spans="1:18" ht="12.6" x14ac:dyDescent="0.45">
      <c r="A921" s="134" t="s">
        <v>547</v>
      </c>
      <c r="B921" s="137"/>
      <c r="D921" s="269"/>
      <c r="E921" s="269"/>
      <c r="F921" s="269"/>
      <c r="G921" s="269"/>
      <c r="H921" s="269"/>
      <c r="I921" s="270"/>
      <c r="J921" s="269"/>
      <c r="K921" s="60"/>
      <c r="L921" s="60"/>
      <c r="M921" s="60"/>
      <c r="N921" s="60"/>
      <c r="O921" s="60"/>
      <c r="P921" s="60"/>
      <c r="Q921" s="60"/>
    </row>
    <row r="922" spans="1:18" ht="24.6" x14ac:dyDescent="0.4">
      <c r="A922" s="172" t="s">
        <v>548</v>
      </c>
      <c r="B922" s="135" t="s">
        <v>494</v>
      </c>
      <c r="D922" s="275" t="s">
        <v>96</v>
      </c>
      <c r="E922" s="258" t="s">
        <v>549</v>
      </c>
      <c r="F922" s="258" t="s">
        <v>550</v>
      </c>
      <c r="G922" s="258" t="s">
        <v>551</v>
      </c>
      <c r="H922" s="258" t="s">
        <v>552</v>
      </c>
      <c r="I922" s="258" t="s">
        <v>553</v>
      </c>
      <c r="J922" s="258" t="s">
        <v>138</v>
      </c>
      <c r="K922" s="258"/>
      <c r="L922" s="60"/>
      <c r="M922" s="60"/>
      <c r="N922" s="60"/>
      <c r="O922" s="60"/>
      <c r="P922" s="60"/>
      <c r="Q922" s="252"/>
    </row>
    <row r="923" spans="1:18" ht="14.4" x14ac:dyDescent="0.55000000000000004">
      <c r="A923" s="172"/>
      <c r="C923" s="192">
        <v>2022</v>
      </c>
      <c r="D923" s="275">
        <f>SUM(E923:K923)</f>
        <v>14977</v>
      </c>
      <c r="E923" s="258">
        <v>4764</v>
      </c>
      <c r="F923" s="258">
        <v>5933</v>
      </c>
      <c r="G923" s="258">
        <v>688</v>
      </c>
      <c r="H923" s="258">
        <v>2668</v>
      </c>
      <c r="I923" s="258">
        <v>924</v>
      </c>
      <c r="J923" s="258">
        <v>0</v>
      </c>
      <c r="K923" s="258"/>
      <c r="L923" s="60"/>
      <c r="M923" s="60"/>
      <c r="N923" s="60"/>
      <c r="O923" s="60"/>
      <c r="P923" s="60"/>
      <c r="Q923" s="137" t="str">
        <f>$A$922&amp;C923&amp;"REV"</f>
        <v>TRP2022REV</v>
      </c>
      <c r="R923" s="272">
        <f>SUM(E923:F923)/D923</f>
        <v>0.71422848367496827</v>
      </c>
    </row>
    <row r="924" spans="1:18" ht="14.4" x14ac:dyDescent="0.55000000000000004">
      <c r="A924" s="172"/>
      <c r="B924" s="11"/>
      <c r="C924" s="192">
        <v>2021</v>
      </c>
      <c r="D924" s="275">
        <f>SUM(E924:K924)</f>
        <v>13387</v>
      </c>
      <c r="E924" s="258">
        <v>4519</v>
      </c>
      <c r="F924" s="258">
        <v>5233</v>
      </c>
      <c r="G924" s="258">
        <v>605</v>
      </c>
      <c r="H924" s="258">
        <v>2306</v>
      </c>
      <c r="I924" s="258">
        <v>724</v>
      </c>
      <c r="J924" s="258">
        <v>0</v>
      </c>
      <c r="K924" s="258"/>
      <c r="L924" s="258"/>
      <c r="M924" s="258"/>
      <c r="N924" s="60"/>
      <c r="O924" s="60"/>
      <c r="P924" s="60"/>
      <c r="Q924" s="137" t="str">
        <f>$A$922&amp;C924&amp;"REV"</f>
        <v>TRP2021REV</v>
      </c>
      <c r="R924" s="261">
        <f>SUM(E924:F924)/D924</f>
        <v>0.72846791663554189</v>
      </c>
    </row>
    <row r="925" spans="1:18" x14ac:dyDescent="0.4">
      <c r="A925" s="172"/>
      <c r="B925" s="11" t="s">
        <v>107</v>
      </c>
      <c r="C925" s="88">
        <v>2020</v>
      </c>
      <c r="D925" s="275">
        <f>SUM(E925:K925)</f>
        <v>12999</v>
      </c>
      <c r="E925" s="258">
        <v>4469</v>
      </c>
      <c r="F925" s="258">
        <v>5031</v>
      </c>
      <c r="G925" s="258">
        <v>716</v>
      </c>
      <c r="H925" s="258">
        <v>2371</v>
      </c>
      <c r="I925" s="258">
        <v>412</v>
      </c>
      <c r="J925" s="258">
        <v>0</v>
      </c>
      <c r="K925" s="250"/>
      <c r="L925" s="258"/>
      <c r="M925" s="258"/>
      <c r="N925" s="60"/>
      <c r="O925" s="60"/>
      <c r="P925" s="60"/>
      <c r="Q925" s="137" t="str">
        <f t="shared" ref="Q925" si="495">$A$922&amp;C925&amp;"REV"</f>
        <v>TRP2020REV</v>
      </c>
      <c r="R925" s="261">
        <f t="shared" ref="R925" si="496">SUM(E925:F925)/D925</f>
        <v>0.73082544811139316</v>
      </c>
    </row>
    <row r="926" spans="1:18" x14ac:dyDescent="0.4">
      <c r="A926" s="172"/>
      <c r="D926" s="275"/>
      <c r="E926" s="250"/>
      <c r="F926" s="250"/>
      <c r="G926" s="271"/>
      <c r="H926" s="250"/>
      <c r="I926" s="250"/>
      <c r="J926" s="250"/>
      <c r="K926" s="60"/>
      <c r="L926" s="60"/>
      <c r="M926" s="60"/>
      <c r="N926" s="60"/>
      <c r="O926" s="60"/>
      <c r="P926" s="60"/>
      <c r="Q926" s="252"/>
      <c r="R926" s="261"/>
    </row>
    <row r="927" spans="1:18" ht="14.4" x14ac:dyDescent="0.55000000000000004">
      <c r="A927" s="172"/>
      <c r="C927" s="192">
        <v>2022</v>
      </c>
      <c r="D927" s="275">
        <f>SUM(E927:K927)</f>
        <v>9901</v>
      </c>
      <c r="E927" s="250">
        <v>2806</v>
      </c>
      <c r="F927" s="250">
        <v>4089</v>
      </c>
      <c r="G927" s="271">
        <v>753</v>
      </c>
      <c r="H927" s="250">
        <v>1366</v>
      </c>
      <c r="I927" s="250">
        <v>907</v>
      </c>
      <c r="J927" s="250">
        <v>-20</v>
      </c>
      <c r="K927" s="60"/>
      <c r="L927" s="60"/>
      <c r="M927" s="60"/>
      <c r="N927" s="60"/>
      <c r="O927" s="60"/>
      <c r="P927" s="60"/>
      <c r="Q927" s="137" t="str">
        <f>$A$922&amp;C927&amp;"INC"</f>
        <v>TRP2022INC</v>
      </c>
      <c r="R927" s="261">
        <f>SUM(E927:F927)/D927</f>
        <v>0.69639430360569643</v>
      </c>
    </row>
    <row r="928" spans="1:18" ht="14.4" x14ac:dyDescent="0.55000000000000004">
      <c r="A928" s="172"/>
      <c r="B928" s="60"/>
      <c r="C928" s="192">
        <v>2021</v>
      </c>
      <c r="D928" s="275">
        <f>SUM(E928:K928)</f>
        <v>9382</v>
      </c>
      <c r="E928" s="250">
        <v>2675</v>
      </c>
      <c r="F928" s="250">
        <v>3856</v>
      </c>
      <c r="G928" s="274">
        <v>666</v>
      </c>
      <c r="H928" s="250">
        <v>1526</v>
      </c>
      <c r="I928" s="250">
        <v>683</v>
      </c>
      <c r="J928" s="250">
        <v>-24</v>
      </c>
      <c r="K928" s="250"/>
      <c r="L928" s="258"/>
      <c r="M928" s="258"/>
      <c r="N928" s="60"/>
      <c r="O928" s="60"/>
      <c r="P928" s="60"/>
      <c r="Q928" s="137" t="str">
        <f>$A922&amp;C928&amp;"INC"</f>
        <v>TRP2021INC</v>
      </c>
      <c r="R928" s="261">
        <f>SUM(E928:F928)/D928</f>
        <v>0.69612023022809633</v>
      </c>
    </row>
    <row r="929" spans="1:24" x14ac:dyDescent="0.4">
      <c r="A929" s="172"/>
      <c r="B929" s="135" t="s">
        <v>554</v>
      </c>
      <c r="C929" s="88">
        <v>2020</v>
      </c>
      <c r="D929" s="275">
        <f>SUM(E929:K929)</f>
        <v>9351</v>
      </c>
      <c r="E929" s="250">
        <v>2566</v>
      </c>
      <c r="F929" s="250">
        <v>3638</v>
      </c>
      <c r="G929" s="250">
        <v>786</v>
      </c>
      <c r="H929" s="250">
        <v>1700</v>
      </c>
      <c r="I929" s="250">
        <v>677</v>
      </c>
      <c r="J929" s="250">
        <v>-16</v>
      </c>
      <c r="K929" s="250"/>
      <c r="L929" s="258"/>
      <c r="M929" s="258"/>
      <c r="N929" s="60"/>
      <c r="O929" s="60"/>
      <c r="P929" s="60"/>
      <c r="Q929" s="137" t="str">
        <f>$A922&amp;C929&amp;"INC"</f>
        <v>TRP2020INC</v>
      </c>
      <c r="R929" s="261">
        <f t="shared" ref="R929" si="497">SUM(E929:F929)/D929</f>
        <v>0.66345845364132183</v>
      </c>
    </row>
    <row r="930" spans="1:24" x14ac:dyDescent="0.4">
      <c r="A930" s="172"/>
      <c r="C930" s="12"/>
      <c r="D930" s="245"/>
      <c r="E930" s="247"/>
      <c r="F930" s="247"/>
      <c r="G930" s="247"/>
      <c r="H930" s="247"/>
      <c r="I930" s="247"/>
      <c r="J930" s="247"/>
      <c r="K930" s="60"/>
      <c r="L930" s="60"/>
      <c r="M930" s="60"/>
      <c r="N930" s="60"/>
      <c r="O930" s="60"/>
      <c r="P930" s="60"/>
      <c r="R930" s="261"/>
    </row>
    <row r="931" spans="1:24" ht="14.4" x14ac:dyDescent="0.55000000000000004">
      <c r="A931" s="172"/>
      <c r="C931" s="192">
        <v>2022</v>
      </c>
      <c r="D931" s="274">
        <f>SUM(E931:K931)</f>
        <v>114348</v>
      </c>
      <c r="E931" s="247">
        <v>27456</v>
      </c>
      <c r="F931" s="247">
        <v>50038</v>
      </c>
      <c r="G931" s="247">
        <v>9231</v>
      </c>
      <c r="H931" s="247">
        <v>15587</v>
      </c>
      <c r="I931" s="247">
        <v>8272</v>
      </c>
      <c r="J931" s="247">
        <v>3764</v>
      </c>
      <c r="K931" s="60"/>
      <c r="L931" s="60"/>
      <c r="M931" s="60"/>
      <c r="N931" s="60"/>
      <c r="O931" s="60"/>
      <c r="P931" s="60"/>
      <c r="Q931" s="137" t="str">
        <f>$A$922&amp;C931&amp;"ASSETS"</f>
        <v>TRP2022ASSETS</v>
      </c>
      <c r="R931" s="261">
        <f>SUM(E931:F931)/D931</f>
        <v>0.67770315178227869</v>
      </c>
    </row>
    <row r="932" spans="1:24" ht="14.4" x14ac:dyDescent="0.55000000000000004">
      <c r="A932" s="172"/>
      <c r="C932" s="192">
        <v>2021</v>
      </c>
      <c r="D932" s="275">
        <f>SUM(E932:K932)</f>
        <v>104218</v>
      </c>
      <c r="E932" s="266">
        <v>25213</v>
      </c>
      <c r="F932" s="266">
        <v>45502</v>
      </c>
      <c r="G932" s="266">
        <v>7547</v>
      </c>
      <c r="H932" s="266">
        <v>14951</v>
      </c>
      <c r="I932" s="266">
        <v>6563</v>
      </c>
      <c r="J932" s="266">
        <v>4442</v>
      </c>
      <c r="K932" s="258"/>
      <c r="L932" s="258"/>
      <c r="M932" s="258"/>
      <c r="N932" s="60"/>
      <c r="O932" s="60"/>
      <c r="P932" s="60"/>
      <c r="Q932" s="137" t="str">
        <f>$A922&amp;C932&amp;"ASSETS"</f>
        <v>TRP2021ASSETS</v>
      </c>
      <c r="R932" s="261">
        <f>SUM(E932:F932)/D932</f>
        <v>0.67852962060296684</v>
      </c>
    </row>
    <row r="933" spans="1:24" x14ac:dyDescent="0.4">
      <c r="A933" s="172"/>
      <c r="B933" s="135" t="s">
        <v>545</v>
      </c>
      <c r="C933" s="88">
        <v>2020</v>
      </c>
      <c r="D933" s="275">
        <f>SUM(E933:K933)</f>
        <v>100300</v>
      </c>
      <c r="E933" s="258">
        <v>22852</v>
      </c>
      <c r="F933" s="258">
        <v>43217</v>
      </c>
      <c r="G933" s="258">
        <v>7215</v>
      </c>
      <c r="H933" s="258">
        <v>16744</v>
      </c>
      <c r="I933" s="258">
        <v>5062</v>
      </c>
      <c r="J933" s="258">
        <v>5210</v>
      </c>
      <c r="K933" s="258"/>
      <c r="L933" s="258"/>
      <c r="M933" s="258"/>
      <c r="N933" s="60"/>
      <c r="O933" s="60"/>
      <c r="P933" s="60"/>
      <c r="Q933" s="137" t="str">
        <f>$A922&amp;C933&amp;"ASSETS"</f>
        <v>TRP2020ASSETS</v>
      </c>
      <c r="R933" s="261">
        <f t="shared" ref="R933" si="498">SUM(E933:F933)/D933</f>
        <v>0.65871385842472585</v>
      </c>
    </row>
    <row r="936" spans="1:24" x14ac:dyDescent="0.4">
      <c r="A936" s="172" t="s">
        <v>555</v>
      </c>
      <c r="E936" s="30"/>
      <c r="F936" s="30"/>
    </row>
    <row r="937" spans="1:24" x14ac:dyDescent="0.4">
      <c r="A937" s="137" t="s">
        <v>556</v>
      </c>
      <c r="E937" s="319" t="s">
        <v>557</v>
      </c>
      <c r="F937" s="320"/>
      <c r="G937" s="276"/>
      <c r="H937" s="276"/>
    </row>
    <row r="938" spans="1:24" s="191" customFormat="1" ht="36.9" x14ac:dyDescent="0.4">
      <c r="A938" s="191" t="s">
        <v>558</v>
      </c>
      <c r="B938" s="277" t="s">
        <v>559</v>
      </c>
      <c r="C938" s="278"/>
      <c r="D938" s="279" t="s">
        <v>96</v>
      </c>
      <c r="E938" s="280" t="s">
        <v>560</v>
      </c>
      <c r="F938" s="280" t="s">
        <v>561</v>
      </c>
      <c r="G938" s="281" t="s">
        <v>130</v>
      </c>
      <c r="H938" s="282"/>
      <c r="I938" s="66"/>
      <c r="J938" s="66"/>
      <c r="K938" s="66"/>
      <c r="L938" s="66"/>
      <c r="M938" s="66"/>
      <c r="Q938" s="228"/>
      <c r="R938" s="228" t="s">
        <v>562</v>
      </c>
      <c r="S938" s="21" t="s">
        <v>103</v>
      </c>
      <c r="T938" s="21" t="s">
        <v>104</v>
      </c>
      <c r="U938" s="21" t="s">
        <v>105</v>
      </c>
      <c r="V938" s="21" t="s">
        <v>106</v>
      </c>
      <c r="W938" s="228" t="s">
        <v>563</v>
      </c>
      <c r="X938" s="228" t="s">
        <v>564</v>
      </c>
    </row>
    <row r="939" spans="1:24" s="191" customFormat="1" ht="14.4" x14ac:dyDescent="0.55000000000000004">
      <c r="B939" s="312" t="s">
        <v>107</v>
      </c>
      <c r="C939" s="177">
        <v>2022</v>
      </c>
      <c r="D939" s="283">
        <f>SUM(E939:G939)</f>
        <v>3792</v>
      </c>
      <c r="E939" s="283">
        <v>3263</v>
      </c>
      <c r="F939" s="283">
        <v>242</v>
      </c>
      <c r="G939" s="284">
        <v>287</v>
      </c>
      <c r="H939" s="282"/>
      <c r="I939" s="66"/>
      <c r="J939" s="66"/>
      <c r="K939" s="66"/>
      <c r="L939" s="66"/>
      <c r="M939" s="66"/>
      <c r="Q939" s="191" t="str">
        <f>$A$938&amp;C939&amp;"REV"</f>
        <v>AWK2022REV</v>
      </c>
      <c r="R939" s="272">
        <f>SUM(E939:F939)/D939</f>
        <v>0.92431434599156115</v>
      </c>
      <c r="S939" s="22"/>
      <c r="T939" s="22"/>
      <c r="U939" s="22"/>
      <c r="V939" s="22"/>
      <c r="W939" s="272">
        <f>SUM(E939:F939)/SUM(E939:F939)</f>
        <v>1</v>
      </c>
      <c r="X939" s="272">
        <f>R939*W939</f>
        <v>0.92431434599156115</v>
      </c>
    </row>
    <row r="940" spans="1:24" s="191" customFormat="1" ht="14.4" x14ac:dyDescent="0.55000000000000004">
      <c r="B940" s="312"/>
      <c r="C940" s="177">
        <v>2021</v>
      </c>
      <c r="D940" s="283">
        <f>SUM(E940:G940)</f>
        <v>3930</v>
      </c>
      <c r="E940" s="283">
        <v>3176</v>
      </c>
      <c r="F940" s="283">
        <v>208</v>
      </c>
      <c r="G940" s="284">
        <v>546</v>
      </c>
      <c r="H940" s="282"/>
      <c r="I940" s="66"/>
      <c r="J940" s="66"/>
      <c r="K940" s="66"/>
      <c r="L940" s="66"/>
      <c r="M940" s="66"/>
      <c r="Q940" s="137" t="str">
        <f>$A$938&amp;C940&amp;"REV"</f>
        <v>AWK2021REV</v>
      </c>
      <c r="R940" s="272">
        <f>SUM(E940:F940)/D940</f>
        <v>0.86106870229007637</v>
      </c>
      <c r="S940" s="22"/>
      <c r="T940" s="22"/>
      <c r="U940" s="22"/>
      <c r="V940" s="22"/>
      <c r="W940" s="272">
        <f>SUM(E940:F940)/SUM(E940:F940)</f>
        <v>1</v>
      </c>
      <c r="X940" s="272">
        <f>R940*W940</f>
        <v>0.86106870229007637</v>
      </c>
    </row>
    <row r="941" spans="1:24" ht="14.4" x14ac:dyDescent="0.55000000000000004">
      <c r="B941" s="312"/>
      <c r="C941" s="136">
        <v>2020</v>
      </c>
      <c r="D941" s="285">
        <f>SUM(E941:G941)</f>
        <v>3777</v>
      </c>
      <c r="E941" s="286">
        <v>3070</v>
      </c>
      <c r="F941" s="286">
        <v>185</v>
      </c>
      <c r="G941" s="287">
        <v>522</v>
      </c>
      <c r="H941" s="288"/>
      <c r="Q941" s="137" t="str">
        <f>$A$938&amp;C941&amp;"REV"</f>
        <v>AWK2020REV</v>
      </c>
      <c r="R941" s="261">
        <f>SUM(E941:F941)/D941</f>
        <v>0.86179507545671163</v>
      </c>
      <c r="U941" s="261"/>
      <c r="W941" s="261">
        <f>SUM(E941:F941)/SUM(E941:F941)</f>
        <v>1</v>
      </c>
      <c r="X941" s="261">
        <f>R941*W941</f>
        <v>0.86179507545671163</v>
      </c>
    </row>
    <row r="942" spans="1:24" x14ac:dyDescent="0.4">
      <c r="B942" s="289"/>
      <c r="C942" s="12"/>
      <c r="D942" s="285"/>
      <c r="E942" s="286"/>
      <c r="F942" s="286"/>
      <c r="G942" s="290"/>
      <c r="H942" s="291"/>
      <c r="R942" s="261"/>
      <c r="U942" s="261"/>
      <c r="W942" s="261"/>
      <c r="X942" s="261"/>
    </row>
    <row r="943" spans="1:24" ht="14.4" x14ac:dyDescent="0.55000000000000004">
      <c r="B943" s="321" t="s">
        <v>109</v>
      </c>
      <c r="C943" s="12">
        <v>2022</v>
      </c>
      <c r="D943" s="285">
        <f>SUM(E943:G943)</f>
        <v>1008</v>
      </c>
      <c r="E943" s="286">
        <v>1042</v>
      </c>
      <c r="F943" s="286"/>
      <c r="G943" s="284">
        <v>-34</v>
      </c>
      <c r="H943" s="291"/>
      <c r="Q943" s="137" t="str">
        <f>$A$938&amp;C943&amp;"INC"</f>
        <v>AWK2022INC</v>
      </c>
      <c r="R943" s="261">
        <f>IF(SUM(E943:F943)/D943&gt;100%, 100%, SUM(E943:F943)/D943)</f>
        <v>1</v>
      </c>
      <c r="U943" s="261"/>
      <c r="W943" s="261">
        <f>SUM(E943:F943)/SUM(E943:F943)</f>
        <v>1</v>
      </c>
      <c r="X943" s="261">
        <f>R943*W943</f>
        <v>1</v>
      </c>
    </row>
    <row r="944" spans="1:24" ht="14.4" x14ac:dyDescent="0.55000000000000004">
      <c r="B944" s="321"/>
      <c r="C944" s="12">
        <v>2021</v>
      </c>
      <c r="D944" s="285">
        <f>SUM(E944:G944)</f>
        <v>1640</v>
      </c>
      <c r="E944" s="286">
        <v>962</v>
      </c>
      <c r="F944" s="286"/>
      <c r="G944" s="284">
        <v>678</v>
      </c>
      <c r="H944" s="291"/>
      <c r="Q944" s="137" t="str">
        <f>$A$938&amp;C944&amp;"INC"</f>
        <v>AWK2021INC</v>
      </c>
      <c r="R944" s="261">
        <f>IF(SUM(E944:F944)/D944&gt;100%, 100%, SUM(E944:F944)/D944)</f>
        <v>0.5865853658536585</v>
      </c>
      <c r="U944" s="261"/>
      <c r="W944" s="261">
        <f>SUM(E944:F944)/SUM(E944:F944)</f>
        <v>1</v>
      </c>
      <c r="X944" s="261">
        <f>R944*W944</f>
        <v>0.5865853658536585</v>
      </c>
    </row>
    <row r="945" spans="1:24" ht="12.75" customHeight="1" x14ac:dyDescent="0.4">
      <c r="B945" s="321"/>
      <c r="C945" s="136">
        <v>2020</v>
      </c>
      <c r="D945" s="285">
        <f>SUM(E945:G945)</f>
        <v>924</v>
      </c>
      <c r="E945" s="286">
        <v>932</v>
      </c>
      <c r="F945" s="286"/>
      <c r="G945" s="287">
        <v>-8</v>
      </c>
      <c r="H945" s="291"/>
      <c r="Q945" s="137" t="str">
        <f>$A$938&amp;C945&amp;"INC"</f>
        <v>AWK2020INC</v>
      </c>
      <c r="R945" s="261">
        <f>IF(SUM(E945:F945)/D945&gt;100%, 100%, SUM(E945:F945)/D945)</f>
        <v>1</v>
      </c>
      <c r="U945" s="261"/>
      <c r="W945" s="261">
        <f>SUM(E945:F945)/SUM(E945:F945)</f>
        <v>1</v>
      </c>
      <c r="X945" s="261">
        <f>R945*W945</f>
        <v>1</v>
      </c>
    </row>
    <row r="946" spans="1:24" x14ac:dyDescent="0.4">
      <c r="B946" s="289"/>
      <c r="C946" s="12"/>
      <c r="D946" s="285"/>
      <c r="E946" s="286"/>
      <c r="F946" s="286"/>
      <c r="G946" s="290"/>
      <c r="H946" s="291"/>
      <c r="R946" s="261"/>
      <c r="U946" s="261"/>
      <c r="W946" s="261"/>
      <c r="X946" s="261"/>
    </row>
    <row r="947" spans="1:24" x14ac:dyDescent="0.4">
      <c r="B947" s="312" t="s">
        <v>110</v>
      </c>
      <c r="C947" s="12">
        <v>2022</v>
      </c>
      <c r="D947" s="285">
        <f>SUM(E947:G947)</f>
        <v>27787</v>
      </c>
      <c r="E947" s="286">
        <v>25038</v>
      </c>
      <c r="F947" s="286"/>
      <c r="G947" s="287">
        <v>2749</v>
      </c>
      <c r="H947" s="291"/>
      <c r="Q947" s="137" t="str">
        <f>$A$938&amp;C947&amp;"ASSETS"</f>
        <v>AWK2022ASSETS</v>
      </c>
      <c r="R947" s="261">
        <f>SUM(E947:F947)/D947</f>
        <v>0.90106884514341234</v>
      </c>
      <c r="U947" s="261"/>
      <c r="W947" s="261">
        <f>SUM(E947:F947)/SUM(E947:F947)</f>
        <v>1</v>
      </c>
      <c r="X947" s="261">
        <f>R947*W947</f>
        <v>0.90106884514341234</v>
      </c>
    </row>
    <row r="948" spans="1:24" x14ac:dyDescent="0.4">
      <c r="B948" s="312"/>
      <c r="C948" s="12">
        <v>2021</v>
      </c>
      <c r="D948" s="285">
        <f>SUM(E948:G948)</f>
        <v>26075</v>
      </c>
      <c r="E948" s="286">
        <v>23365</v>
      </c>
      <c r="F948" s="286"/>
      <c r="G948" s="287">
        <v>2710</v>
      </c>
      <c r="H948" s="291"/>
      <c r="Q948" s="137" t="str">
        <f>$A$938&amp;C948&amp;"ASSETS"</f>
        <v>AWK2021ASSETS</v>
      </c>
      <c r="R948" s="261">
        <f>SUM(E948:F948)/D948</f>
        <v>0.89606903163950147</v>
      </c>
      <c r="U948" s="261"/>
      <c r="W948" s="261">
        <f>SUM(E948:F948)/SUM(E948:F948)</f>
        <v>1</v>
      </c>
      <c r="X948" s="261">
        <f>R948*W948</f>
        <v>0.89606903163950147</v>
      </c>
    </row>
    <row r="949" spans="1:24" ht="14.4" x14ac:dyDescent="0.55000000000000004">
      <c r="B949" s="313"/>
      <c r="C949" s="292">
        <v>2020</v>
      </c>
      <c r="D949" s="293">
        <f>SUM(E949:G949)</f>
        <v>24766</v>
      </c>
      <c r="E949" s="294">
        <v>22357</v>
      </c>
      <c r="F949" s="294"/>
      <c r="G949" s="295">
        <v>2409</v>
      </c>
      <c r="H949" s="291"/>
      <c r="Q949" s="137" t="str">
        <f>$A$938&amp;C949&amp;"ASSETS"</f>
        <v>AWK2020ASSETS</v>
      </c>
      <c r="R949" s="261">
        <f>SUM(E949:F949)/D949</f>
        <v>0.90272954857465881</v>
      </c>
      <c r="U949" s="261"/>
      <c r="W949" s="261">
        <f>SUM(E949:F949)/SUM(E949:F949)</f>
        <v>1</v>
      </c>
      <c r="X949" s="261">
        <f>R949*W949</f>
        <v>0.90272954857465881</v>
      </c>
    </row>
    <row r="950" spans="1:24" x14ac:dyDescent="0.4">
      <c r="E950" s="296"/>
      <c r="F950" s="296"/>
      <c r="G950" s="296"/>
      <c r="H950" s="296"/>
    </row>
    <row r="952" spans="1:24" x14ac:dyDescent="0.4">
      <c r="A952" s="172" t="s">
        <v>565</v>
      </c>
    </row>
    <row r="953" spans="1:24" x14ac:dyDescent="0.4">
      <c r="A953" s="137" t="s">
        <v>566</v>
      </c>
      <c r="E953" s="322" t="s">
        <v>557</v>
      </c>
      <c r="F953" s="323"/>
    </row>
    <row r="954" spans="1:24" s="191" customFormat="1" ht="36.9" x14ac:dyDescent="0.4">
      <c r="A954" s="191" t="s">
        <v>567</v>
      </c>
      <c r="B954" s="277" t="s">
        <v>568</v>
      </c>
      <c r="C954" s="278"/>
      <c r="D954" s="279" t="s">
        <v>96</v>
      </c>
      <c r="E954" s="280" t="s">
        <v>560</v>
      </c>
      <c r="F954" s="280" t="s">
        <v>141</v>
      </c>
      <c r="G954" s="281" t="s">
        <v>569</v>
      </c>
      <c r="H954" s="66"/>
      <c r="I954" s="66"/>
      <c r="J954" s="66"/>
      <c r="K954" s="66"/>
      <c r="L954" s="66"/>
      <c r="M954" s="66"/>
      <c r="Q954" s="228"/>
      <c r="R954" s="228" t="s">
        <v>562</v>
      </c>
      <c r="S954" s="21" t="s">
        <v>103</v>
      </c>
      <c r="T954" s="21" t="s">
        <v>104</v>
      </c>
      <c r="U954" s="21" t="s">
        <v>105</v>
      </c>
      <c r="V954" s="21" t="s">
        <v>106</v>
      </c>
      <c r="W954" s="228" t="s">
        <v>563</v>
      </c>
      <c r="X954" s="228" t="s">
        <v>564</v>
      </c>
    </row>
    <row r="955" spans="1:24" s="191" customFormat="1" ht="14.4" x14ac:dyDescent="0.55000000000000004">
      <c r="B955" s="312" t="s">
        <v>107</v>
      </c>
      <c r="C955" s="177">
        <v>2022</v>
      </c>
      <c r="D955" s="283">
        <f>SUM(E955:G955)</f>
        <v>491528</v>
      </c>
      <c r="E955" s="283">
        <v>340602</v>
      </c>
      <c r="F955" s="283">
        <v>39986</v>
      </c>
      <c r="G955" s="284">
        <v>110940</v>
      </c>
      <c r="H955" s="66"/>
      <c r="I955" s="66"/>
      <c r="J955" s="66"/>
      <c r="K955" s="66"/>
      <c r="L955" s="66"/>
      <c r="M955" s="66"/>
      <c r="Q955" s="137" t="str">
        <f>$A$954&amp;C955&amp;"REV"</f>
        <v>AWR2022REV</v>
      </c>
      <c r="R955" s="272">
        <f>SUM(E955:F955)/D955</f>
        <v>0.77429566576064845</v>
      </c>
      <c r="S955" s="22"/>
      <c r="T955" s="22"/>
      <c r="U955" s="22"/>
      <c r="V955" s="22"/>
      <c r="W955" s="272">
        <f>E955/SUM(E955:F955)</f>
        <v>0.89493625652937037</v>
      </c>
      <c r="X955" s="272">
        <f>E955/D955</f>
        <v>0.6929452645627513</v>
      </c>
    </row>
    <row r="956" spans="1:24" s="191" customFormat="1" ht="14.4" x14ac:dyDescent="0.55000000000000004">
      <c r="B956" s="312"/>
      <c r="C956" s="192">
        <v>2021</v>
      </c>
      <c r="D956" s="283">
        <f>SUM(E956:G956)</f>
        <v>498853</v>
      </c>
      <c r="E956" s="283">
        <v>347112</v>
      </c>
      <c r="F956" s="283">
        <v>38345</v>
      </c>
      <c r="G956" s="284">
        <v>113396</v>
      </c>
      <c r="H956" s="66"/>
      <c r="I956" s="66"/>
      <c r="J956" s="66"/>
      <c r="K956" s="66"/>
      <c r="L956" s="66"/>
      <c r="M956" s="66"/>
      <c r="Q956" s="137" t="str">
        <f>$A$954&amp;C956&amp;"REV"</f>
        <v>AWR2021REV</v>
      </c>
      <c r="R956" s="272">
        <f>SUM(E956:F956)/D956</f>
        <v>0.77268654292948025</v>
      </c>
      <c r="S956" s="137"/>
      <c r="T956" s="137"/>
      <c r="U956" s="272"/>
      <c r="V956" s="137"/>
      <c r="W956" s="272">
        <f>E956/SUM(E956:F956)</f>
        <v>0.90052068064660906</v>
      </c>
      <c r="X956" s="272">
        <f>E956/D956</f>
        <v>0.69582021156533091</v>
      </c>
    </row>
    <row r="957" spans="1:24" x14ac:dyDescent="0.4">
      <c r="B957" s="312"/>
      <c r="C957" s="136">
        <v>2020</v>
      </c>
      <c r="D957" s="285">
        <f t="shared" ref="D957" si="499">SUM(E957:G957)</f>
        <v>488243</v>
      </c>
      <c r="E957" s="286">
        <v>330637</v>
      </c>
      <c r="F957" s="286">
        <v>37024</v>
      </c>
      <c r="G957" s="287">
        <v>120582</v>
      </c>
      <c r="Q957" s="137" t="str">
        <f>$A$954&amp;C957&amp;"REV"</f>
        <v>AWR2020REV</v>
      </c>
      <c r="R957" s="261">
        <f>SUM(E957:F957)/D957</f>
        <v>0.75302871725759513</v>
      </c>
      <c r="U957" s="261"/>
      <c r="W957" s="261">
        <f>E957/SUM(E957:F957)</f>
        <v>0.89929853859941633</v>
      </c>
      <c r="X957" s="261">
        <f>E957/D957</f>
        <v>0.67719762495314828</v>
      </c>
    </row>
    <row r="958" spans="1:24" x14ac:dyDescent="0.4">
      <c r="B958" s="289"/>
      <c r="C958" s="12"/>
      <c r="D958" s="285"/>
      <c r="E958" s="286"/>
      <c r="F958" s="286"/>
      <c r="G958" s="287"/>
      <c r="R958" s="261"/>
      <c r="W958" s="261"/>
      <c r="X958" s="261"/>
    </row>
    <row r="959" spans="1:24" ht="25.5" customHeight="1" x14ac:dyDescent="0.55000000000000004">
      <c r="B959" s="321" t="s">
        <v>109</v>
      </c>
      <c r="C959" s="12">
        <v>2022</v>
      </c>
      <c r="D959" s="283">
        <f>SUM(E959:G959)</f>
        <v>126644</v>
      </c>
      <c r="E959" s="286">
        <v>92455</v>
      </c>
      <c r="F959" s="286">
        <v>11740</v>
      </c>
      <c r="G959" s="287">
        <v>22449</v>
      </c>
      <c r="Q959" s="137" t="str">
        <f>$A$954&amp;C959&amp;"INC"</f>
        <v>AWR2022INC</v>
      </c>
      <c r="R959" s="261">
        <f>SUM(E959:F959)/D959</f>
        <v>0.8227393323015697</v>
      </c>
      <c r="W959" s="261">
        <f>E959/SUM(E959:F959)</f>
        <v>0.88732664715197462</v>
      </c>
      <c r="X959" s="261">
        <f>E959/D959</f>
        <v>0.73003853321120626</v>
      </c>
    </row>
    <row r="960" spans="1:24" x14ac:dyDescent="0.4">
      <c r="B960" s="321"/>
      <c r="C960" s="12">
        <v>2021</v>
      </c>
      <c r="D960" s="286">
        <f>SUM(E960:G960)</f>
        <v>140986</v>
      </c>
      <c r="E960" s="286">
        <v>107573</v>
      </c>
      <c r="F960" s="286">
        <v>10738</v>
      </c>
      <c r="G960" s="287">
        <v>22675</v>
      </c>
      <c r="Q960" s="137" t="str">
        <f>$A$954&amp;C960&amp;"INC"</f>
        <v>AWR2021INC</v>
      </c>
      <c r="R960" s="261">
        <f>SUM(E960:F960)/D960</f>
        <v>0.83916842807087233</v>
      </c>
      <c r="W960" s="261">
        <f>E960/SUM(E960:F960)</f>
        <v>0.90923920852667972</v>
      </c>
      <c r="X960" s="261">
        <f>E960/D960</f>
        <v>0.7630048373597379</v>
      </c>
    </row>
    <row r="961" spans="1:24" ht="12.75" customHeight="1" x14ac:dyDescent="0.4">
      <c r="B961" s="321"/>
      <c r="C961" s="136">
        <v>2020</v>
      </c>
      <c r="D961" s="285">
        <f t="shared" ref="D961" si="500">SUM(E961:G961)</f>
        <v>130508</v>
      </c>
      <c r="E961" s="286">
        <v>97896</v>
      </c>
      <c r="F961" s="286">
        <v>10303</v>
      </c>
      <c r="G961" s="287">
        <v>22309</v>
      </c>
      <c r="Q961" s="137" t="str">
        <f>$A$954&amp;C961&amp;"INC"</f>
        <v>AWR2020INC</v>
      </c>
      <c r="R961" s="261">
        <f t="shared" ref="R961:R965" si="501">SUM(E961:F961)/D961</f>
        <v>0.82906028749195448</v>
      </c>
      <c r="W961" s="261">
        <f>E961/SUM(E961:F961)</f>
        <v>0.90477730847789717</v>
      </c>
      <c r="X961" s="261">
        <f>E961/D961</f>
        <v>0.75011493548288233</v>
      </c>
    </row>
    <row r="962" spans="1:24" x14ac:dyDescent="0.4">
      <c r="B962" s="289"/>
      <c r="C962" s="12"/>
      <c r="D962" s="285"/>
      <c r="E962" s="286"/>
      <c r="F962" s="286"/>
      <c r="G962" s="287"/>
      <c r="H962" s="18" t="s">
        <v>570</v>
      </c>
      <c r="R962" s="261"/>
      <c r="W962" s="261"/>
      <c r="X962" s="261"/>
    </row>
    <row r="963" spans="1:24" x14ac:dyDescent="0.4">
      <c r="B963" s="312" t="s">
        <v>110</v>
      </c>
      <c r="C963" s="12">
        <v>2022</v>
      </c>
      <c r="D963" s="285">
        <f>SUM(E963:G963)</f>
        <v>2034374</v>
      </c>
      <c r="E963" s="286">
        <f>(2006468/2178349)*H963</f>
        <v>1873853.2397848095</v>
      </c>
      <c r="F963" s="286">
        <f>(133815/2178349)*H963</f>
        <v>124970.68046029354</v>
      </c>
      <c r="G963" s="287">
        <f>(38066/2178349)*H963</f>
        <v>35550.079754896942</v>
      </c>
      <c r="H963" s="18">
        <v>2034374</v>
      </c>
      <c r="Q963" s="137" t="str">
        <f>$A$954&amp;C963&amp;"ASSETS"</f>
        <v>AWR2022ASSETS</v>
      </c>
      <c r="R963" s="261">
        <f>SUM(E963:F963)/D963</f>
        <v>0.98252529782876852</v>
      </c>
      <c r="W963" s="261">
        <f>E963/SUM(E963:F963)</f>
        <v>0.93747789427846695</v>
      </c>
      <c r="X963" s="261">
        <f>E963/D963</f>
        <v>0.92109574728383747</v>
      </c>
    </row>
    <row r="964" spans="1:24" x14ac:dyDescent="0.4">
      <c r="B964" s="312"/>
      <c r="C964" s="12">
        <v>2021</v>
      </c>
      <c r="D964" s="285">
        <f>SUM(E964:G964)</f>
        <v>1900983.0000000002</v>
      </c>
      <c r="E964" s="286">
        <f>(1898817/2052353)*$H964</f>
        <v>1758770.9507628563</v>
      </c>
      <c r="F964" s="286">
        <f>(116472/2052353)*$H964</f>
        <v>107881.68116108682</v>
      </c>
      <c r="G964" s="287">
        <f>(37064/2052353)*$H964</f>
        <v>34330.368076057093</v>
      </c>
      <c r="H964" s="18">
        <v>1900983</v>
      </c>
      <c r="Q964" s="137" t="str">
        <f>$A$954&amp;C964&amp;"ASSETS"</f>
        <v>AWR2021ASSETS</v>
      </c>
      <c r="R964" s="261">
        <f>SUM(E964:F964)/D964</f>
        <v>0.98194072851989878</v>
      </c>
      <c r="W964" s="261">
        <f>E964/SUM(E964:F964)</f>
        <v>0.94220580770301432</v>
      </c>
      <c r="X964" s="261">
        <f>E964/D964</f>
        <v>0.92519025723157755</v>
      </c>
    </row>
    <row r="965" spans="1:24" x14ac:dyDescent="0.4">
      <c r="B965" s="313"/>
      <c r="C965" s="292">
        <v>2020</v>
      </c>
      <c r="D965" s="297">
        <f>SUM(E965:G965)</f>
        <v>1791603.0000000002</v>
      </c>
      <c r="E965" s="294">
        <f>(1784402/1930224)*$H965</f>
        <v>1656253.3552613584</v>
      </c>
      <c r="F965" s="294">
        <f>(112507/1930224)*$H965</f>
        <v>104427.19535193843</v>
      </c>
      <c r="G965" s="295">
        <f>(33315/1930224)*$H965</f>
        <v>30922.449386703309</v>
      </c>
      <c r="H965" s="18">
        <v>1791603</v>
      </c>
      <c r="Q965" s="137" t="str">
        <f>$A$954&amp;C965&amp;"ASSETS"</f>
        <v>AWR2020ASSETS</v>
      </c>
      <c r="R965" s="261">
        <f t="shared" si="501"/>
        <v>0.98274034516201225</v>
      </c>
      <c r="W965" s="261">
        <f>E965/SUM(E965:F965)</f>
        <v>0.94068930033016873</v>
      </c>
      <c r="X965" s="261">
        <f>E965/D965</f>
        <v>0.92445332769668176</v>
      </c>
    </row>
    <row r="968" spans="1:24" x14ac:dyDescent="0.4">
      <c r="A968" s="172" t="s">
        <v>571</v>
      </c>
    </row>
    <row r="969" spans="1:24" x14ac:dyDescent="0.4">
      <c r="A969" s="137" t="s">
        <v>572</v>
      </c>
      <c r="E969" s="298" t="s">
        <v>557</v>
      </c>
    </row>
    <row r="970" spans="1:24" s="191" customFormat="1" ht="36.9" x14ac:dyDescent="0.4">
      <c r="A970" s="191" t="s">
        <v>573</v>
      </c>
      <c r="B970" s="299" t="s">
        <v>568</v>
      </c>
      <c r="C970" s="278"/>
      <c r="D970" s="279" t="s">
        <v>96</v>
      </c>
      <c r="E970" s="300" t="s">
        <v>574</v>
      </c>
      <c r="F970" s="281" t="s">
        <v>575</v>
      </c>
      <c r="G970" s="66"/>
      <c r="H970" s="66"/>
      <c r="I970" s="66"/>
      <c r="J970" s="66"/>
      <c r="K970" s="66"/>
      <c r="L970" s="66"/>
      <c r="M970" s="66"/>
      <c r="Q970" s="228"/>
      <c r="R970" s="228" t="s">
        <v>562</v>
      </c>
      <c r="S970" s="21" t="s">
        <v>103</v>
      </c>
      <c r="T970" s="21" t="s">
        <v>104</v>
      </c>
      <c r="U970" s="21" t="s">
        <v>105</v>
      </c>
      <c r="V970" s="21" t="s">
        <v>106</v>
      </c>
      <c r="W970" s="228" t="s">
        <v>563</v>
      </c>
      <c r="X970" s="228" t="s">
        <v>564</v>
      </c>
    </row>
    <row r="971" spans="1:24" s="191" customFormat="1" ht="14.4" x14ac:dyDescent="0.55000000000000004">
      <c r="B971" s="312" t="s">
        <v>107</v>
      </c>
      <c r="C971" s="177">
        <v>2022</v>
      </c>
      <c r="D971" s="283">
        <f>SUM(E971:F971)</f>
        <v>867707</v>
      </c>
      <c r="E971" s="283">
        <v>846431</v>
      </c>
      <c r="F971" s="284">
        <v>21276</v>
      </c>
      <c r="G971" s="66"/>
      <c r="H971" s="66"/>
      <c r="I971" s="66"/>
      <c r="J971" s="66"/>
      <c r="K971" s="66"/>
      <c r="L971" s="66"/>
      <c r="M971" s="66"/>
      <c r="Q971" s="137" t="str">
        <f>$A$970&amp;C971&amp;"REV"</f>
        <v>CWT2022REV</v>
      </c>
      <c r="R971" s="272">
        <f>E971/D971</f>
        <v>0.97548020241855837</v>
      </c>
      <c r="S971" s="137"/>
      <c r="T971" s="137"/>
      <c r="U971" s="137"/>
      <c r="V971" s="137"/>
      <c r="W971" s="272">
        <f>E971/E971</f>
        <v>1</v>
      </c>
      <c r="X971" s="272">
        <f>E971/D971</f>
        <v>0.97548020241855837</v>
      </c>
    </row>
    <row r="972" spans="1:24" s="191" customFormat="1" ht="14.4" x14ac:dyDescent="0.55000000000000004">
      <c r="B972" s="312"/>
      <c r="C972" s="177">
        <v>2021</v>
      </c>
      <c r="D972" s="283">
        <f>SUM(E972:F972)</f>
        <v>813670</v>
      </c>
      <c r="E972" s="283">
        <v>790909</v>
      </c>
      <c r="F972" s="284">
        <v>22761</v>
      </c>
      <c r="G972" s="66"/>
      <c r="H972" s="66"/>
      <c r="I972" s="66"/>
      <c r="J972" s="66"/>
      <c r="K972" s="66"/>
      <c r="L972" s="66"/>
      <c r="M972" s="66"/>
      <c r="Q972" s="137" t="str">
        <f>$A$970&amp;C972&amp;"REV"</f>
        <v>CWT2021REV</v>
      </c>
      <c r="R972" s="272">
        <f>E972/D972</f>
        <v>0.97202674302850045</v>
      </c>
      <c r="S972" s="137"/>
      <c r="T972" s="137"/>
      <c r="U972" s="137"/>
      <c r="V972" s="137"/>
      <c r="W972" s="272">
        <f>E972/E972</f>
        <v>1</v>
      </c>
      <c r="X972" s="272">
        <f>E972/D972</f>
        <v>0.97202674302850045</v>
      </c>
    </row>
    <row r="973" spans="1:24" x14ac:dyDescent="0.4">
      <c r="B973" s="312"/>
      <c r="C973" s="136">
        <v>2020</v>
      </c>
      <c r="D973" s="285">
        <f>SUM(E973:F973)</f>
        <v>811229</v>
      </c>
      <c r="E973" s="285">
        <v>794307</v>
      </c>
      <c r="F973" s="287">
        <v>16922</v>
      </c>
      <c r="G973" s="301"/>
      <c r="Q973" s="137" t="str">
        <f>$A$970&amp;C973&amp;"REV"</f>
        <v>CWT2020REV</v>
      </c>
      <c r="R973" s="261">
        <f>E973/D973</f>
        <v>0.97914029207535724</v>
      </c>
      <c r="W973" s="261">
        <f>E973/E973</f>
        <v>1</v>
      </c>
      <c r="X973" s="261">
        <f>E973/D973</f>
        <v>0.97914029207535724</v>
      </c>
    </row>
    <row r="974" spans="1:24" x14ac:dyDescent="0.4">
      <c r="B974" s="289"/>
      <c r="C974" s="12"/>
      <c r="D974" s="285"/>
      <c r="E974" s="285"/>
      <c r="F974" s="287"/>
      <c r="G974" s="301"/>
      <c r="R974" s="261"/>
      <c r="W974" s="261"/>
      <c r="X974" s="261"/>
    </row>
    <row r="975" spans="1:24" ht="25.5" customHeight="1" x14ac:dyDescent="0.4">
      <c r="B975" s="321" t="s">
        <v>109</v>
      </c>
      <c r="C975" s="12">
        <v>2022</v>
      </c>
      <c r="D975" s="285">
        <f>SUM(E975:F975)</f>
        <v>124115</v>
      </c>
      <c r="E975" s="285">
        <v>127660</v>
      </c>
      <c r="F975" s="287">
        <v>-3545</v>
      </c>
      <c r="G975" s="301"/>
      <c r="Q975" s="137" t="str">
        <f>$A$970&amp;C975&amp;"INC"</f>
        <v>CWT2022INC</v>
      </c>
      <c r="R975" s="261">
        <f>IF(E975/D975&gt;100%, 100%, E975/D975)</f>
        <v>1</v>
      </c>
      <c r="W975" s="261">
        <f>E975/E975</f>
        <v>1</v>
      </c>
      <c r="X975" s="261">
        <f>E975/D975</f>
        <v>1.0285622205212908</v>
      </c>
    </row>
    <row r="976" spans="1:24" x14ac:dyDescent="0.4">
      <c r="B976" s="321"/>
      <c r="C976" s="12">
        <v>2021</v>
      </c>
      <c r="D976" s="285">
        <f>SUM(E976:F976)</f>
        <v>132297</v>
      </c>
      <c r="E976" s="285">
        <v>126770</v>
      </c>
      <c r="F976" s="287">
        <v>5527</v>
      </c>
      <c r="G976" s="301"/>
      <c r="Q976" s="137" t="str">
        <f>$A$970&amp;C976&amp;"INC"</f>
        <v>CWT2021INC</v>
      </c>
      <c r="R976" s="261">
        <f>IF(E976/D976&gt;100%, 100%, E976/D976)</f>
        <v>0.9582227866089178</v>
      </c>
      <c r="W976" s="261">
        <f>E976/E976</f>
        <v>1</v>
      </c>
      <c r="X976" s="261">
        <f>E976/D976</f>
        <v>0.9582227866089178</v>
      </c>
    </row>
    <row r="977" spans="1:24" ht="12.75" customHeight="1" x14ac:dyDescent="0.4">
      <c r="B977" s="321"/>
      <c r="C977" s="136">
        <v>2020</v>
      </c>
      <c r="D977" s="285">
        <f t="shared" ref="D977:D981" si="502">SUM(E977:F977)</f>
        <v>139288</v>
      </c>
      <c r="E977" s="285">
        <v>136666</v>
      </c>
      <c r="F977" s="287">
        <f>16922-14300</f>
        <v>2622</v>
      </c>
      <c r="G977" s="301"/>
      <c r="Q977" s="137" t="str">
        <f>$A$970&amp;C977&amp;"INC"</f>
        <v>CWT2020INC</v>
      </c>
      <c r="R977" s="261">
        <f>IF(E977/D977&gt;100%, 100%, E977/D977)</f>
        <v>0.98117569352708056</v>
      </c>
      <c r="W977" s="261">
        <f>E977/E977</f>
        <v>1</v>
      </c>
      <c r="X977" s="261">
        <f>E977/D977</f>
        <v>0.98117569352708056</v>
      </c>
    </row>
    <row r="978" spans="1:24" x14ac:dyDescent="0.4">
      <c r="B978" s="289"/>
      <c r="C978" s="12"/>
      <c r="D978" s="285"/>
      <c r="E978" s="285"/>
      <c r="F978" s="287"/>
      <c r="G978" s="301"/>
      <c r="R978" s="261"/>
      <c r="W978" s="261"/>
      <c r="X978" s="261"/>
    </row>
    <row r="979" spans="1:24" x14ac:dyDescent="0.4">
      <c r="B979" s="312" t="s">
        <v>110</v>
      </c>
      <c r="C979" s="12">
        <v>2022</v>
      </c>
      <c r="D979" s="285">
        <f>SUM(E979:F979)</f>
        <v>3850752</v>
      </c>
      <c r="E979" s="285">
        <v>3850752</v>
      </c>
      <c r="F979" s="287"/>
      <c r="G979" s="301"/>
      <c r="Q979" s="137" t="str">
        <f>$A$970&amp;C979&amp;"ASSETS"</f>
        <v>CWT2022ASSETS</v>
      </c>
      <c r="R979" s="261">
        <f>E979/D979</f>
        <v>1</v>
      </c>
      <c r="W979" s="261">
        <f>E979/E979</f>
        <v>1</v>
      </c>
      <c r="X979" s="261">
        <f>E979/D979</f>
        <v>1</v>
      </c>
    </row>
    <row r="980" spans="1:24" x14ac:dyDescent="0.4">
      <c r="B980" s="312"/>
      <c r="C980" s="12">
        <v>2021</v>
      </c>
      <c r="D980" s="285">
        <f>SUM(E980:F980)</f>
        <v>3623271</v>
      </c>
      <c r="E980" s="285">
        <v>3623271</v>
      </c>
      <c r="F980" s="287"/>
      <c r="G980" s="301"/>
      <c r="Q980" s="137" t="str">
        <f>$A$970&amp;C980&amp;"ASSETS"</f>
        <v>CWT2021ASSETS</v>
      </c>
      <c r="R980" s="261">
        <f>E980/D980</f>
        <v>1</v>
      </c>
      <c r="W980" s="261">
        <f>E980/E980</f>
        <v>1</v>
      </c>
      <c r="X980" s="261">
        <f>E980/D980</f>
        <v>1</v>
      </c>
    </row>
    <row r="981" spans="1:24" x14ac:dyDescent="0.4">
      <c r="B981" s="313"/>
      <c r="C981" s="292">
        <v>2020</v>
      </c>
      <c r="D981" s="297">
        <f t="shared" si="502"/>
        <v>3394248</v>
      </c>
      <c r="E981" s="297">
        <v>3394248</v>
      </c>
      <c r="F981" s="295"/>
      <c r="G981" s="301"/>
      <c r="Q981" s="137" t="str">
        <f>$A$970&amp;C981&amp;"ASSETS"</f>
        <v>CWT2020ASSETS</v>
      </c>
      <c r="R981" s="261">
        <f t="shared" ref="R981" si="503">E981/D981</f>
        <v>1</v>
      </c>
      <c r="W981" s="261">
        <f>E981/E981</f>
        <v>1</v>
      </c>
      <c r="X981" s="261">
        <f>E981/D981</f>
        <v>1</v>
      </c>
    </row>
    <row r="984" spans="1:24" x14ac:dyDescent="0.4">
      <c r="A984" s="172" t="s">
        <v>576</v>
      </c>
    </row>
    <row r="985" spans="1:24" x14ac:dyDescent="0.4">
      <c r="A985" s="137" t="s">
        <v>577</v>
      </c>
      <c r="E985" s="298" t="s">
        <v>557</v>
      </c>
    </row>
    <row r="986" spans="1:24" s="191" customFormat="1" ht="36.9" x14ac:dyDescent="0.4">
      <c r="A986" s="191" t="s">
        <v>578</v>
      </c>
      <c r="B986" s="299" t="s">
        <v>559</v>
      </c>
      <c r="C986" s="278"/>
      <c r="D986" s="279" t="s">
        <v>96</v>
      </c>
      <c r="E986" s="300" t="s">
        <v>579</v>
      </c>
      <c r="F986" s="300" t="s">
        <v>580</v>
      </c>
      <c r="G986" s="281"/>
      <c r="H986" s="66"/>
      <c r="I986" s="66"/>
      <c r="J986" s="66"/>
      <c r="K986" s="66"/>
      <c r="L986" s="66"/>
      <c r="M986" s="66"/>
      <c r="Q986" s="228"/>
      <c r="R986" s="228" t="s">
        <v>562</v>
      </c>
      <c r="S986" s="21" t="s">
        <v>103</v>
      </c>
      <c r="T986" s="21" t="s">
        <v>104</v>
      </c>
      <c r="U986" s="21" t="s">
        <v>105</v>
      </c>
      <c r="V986" s="21" t="s">
        <v>106</v>
      </c>
      <c r="W986" s="228" t="s">
        <v>563</v>
      </c>
      <c r="X986" s="228" t="s">
        <v>564</v>
      </c>
    </row>
    <row r="987" spans="1:24" s="191" customFormat="1" ht="14.4" x14ac:dyDescent="0.55000000000000004">
      <c r="B987" s="312" t="s">
        <v>107</v>
      </c>
      <c r="C987" s="177">
        <v>2022</v>
      </c>
      <c r="D987" s="283">
        <f>SUM(E987:F987)</f>
        <v>162.4</v>
      </c>
      <c r="E987" s="283">
        <v>150.6</v>
      </c>
      <c r="F987" s="283">
        <v>11.8</v>
      </c>
      <c r="G987" s="302"/>
      <c r="H987" s="66"/>
      <c r="I987" s="66"/>
      <c r="J987" s="66"/>
      <c r="K987" s="66"/>
      <c r="L987" s="66"/>
      <c r="M987" s="66"/>
      <c r="Q987" s="137" t="str">
        <f>$A$986&amp;C987&amp;"REV"</f>
        <v>MSEX2022REV</v>
      </c>
      <c r="R987" s="272">
        <f>E987/D987</f>
        <v>0.92733990147783241</v>
      </c>
      <c r="S987" s="137"/>
      <c r="T987" s="137"/>
      <c r="U987" s="303"/>
      <c r="V987" s="137"/>
      <c r="W987" s="272">
        <f>E987/E987</f>
        <v>1</v>
      </c>
      <c r="X987" s="272">
        <f>E987/D987</f>
        <v>0.92733990147783241</v>
      </c>
    </row>
    <row r="988" spans="1:24" s="191" customFormat="1" ht="14.4" x14ac:dyDescent="0.55000000000000004">
      <c r="B988" s="312"/>
      <c r="C988" s="177">
        <v>2021</v>
      </c>
      <c r="D988" s="283">
        <f>SUM(E988:F988)</f>
        <v>143.10000000000002</v>
      </c>
      <c r="E988" s="283">
        <v>130.80000000000001</v>
      </c>
      <c r="F988" s="283">
        <v>12.3</v>
      </c>
      <c r="G988" s="302"/>
      <c r="H988" s="66"/>
      <c r="I988" s="66"/>
      <c r="J988" s="66"/>
      <c r="K988" s="66"/>
      <c r="L988" s="66"/>
      <c r="M988" s="66"/>
      <c r="Q988" s="137" t="str">
        <f>$A$986&amp;C988&amp;"REV"</f>
        <v>MSEX2021REV</v>
      </c>
      <c r="R988" s="272">
        <f>E988/D988</f>
        <v>0.91404612159329135</v>
      </c>
      <c r="S988" s="137"/>
      <c r="T988" s="137"/>
      <c r="U988" s="303"/>
      <c r="V988" s="137"/>
      <c r="W988" s="272">
        <f>E988/E988</f>
        <v>1</v>
      </c>
      <c r="X988" s="272">
        <f>E988/D988</f>
        <v>0.91404612159329135</v>
      </c>
    </row>
    <row r="989" spans="1:24" x14ac:dyDescent="0.4">
      <c r="B989" s="312"/>
      <c r="C989" s="136">
        <v>2020</v>
      </c>
      <c r="D989" s="285">
        <f>SUM(E989:F989)</f>
        <v>141.6</v>
      </c>
      <c r="E989" s="285">
        <v>129.5</v>
      </c>
      <c r="F989" s="285">
        <v>12.1</v>
      </c>
      <c r="G989" s="287"/>
      <c r="Q989" s="137" t="str">
        <f>$A$986&amp;C989&amp;"REV"</f>
        <v>MSEX2020REV</v>
      </c>
      <c r="R989" s="261">
        <f>E989/D989</f>
        <v>0.91454802259887014</v>
      </c>
      <c r="U989" s="303"/>
      <c r="W989" s="261">
        <f>E989/E989</f>
        <v>1</v>
      </c>
      <c r="X989" s="261">
        <f>E989/D989</f>
        <v>0.91454802259887014</v>
      </c>
    </row>
    <row r="990" spans="1:24" x14ac:dyDescent="0.4">
      <c r="B990" s="289"/>
      <c r="C990" s="12"/>
      <c r="D990" s="285"/>
      <c r="E990" s="285"/>
      <c r="F990" s="285"/>
      <c r="G990" s="287"/>
      <c r="R990" s="261"/>
      <c r="W990" s="261"/>
      <c r="X990" s="261"/>
    </row>
    <row r="991" spans="1:24" ht="25.5" customHeight="1" x14ac:dyDescent="0.4">
      <c r="B991" s="321" t="s">
        <v>109</v>
      </c>
      <c r="C991" s="12">
        <v>2022</v>
      </c>
      <c r="D991" s="285">
        <f>SUM(E991:F991)</f>
        <v>47.300000000000004</v>
      </c>
      <c r="E991" s="285">
        <v>44.2</v>
      </c>
      <c r="F991" s="285">
        <v>3.1</v>
      </c>
      <c r="G991" s="287"/>
      <c r="Q991" s="137" t="str">
        <f>$A$986&amp;C991&amp;"INC"</f>
        <v>MSEX2022INC</v>
      </c>
      <c r="R991" s="261">
        <f>E991/D991</f>
        <v>0.93446088794925997</v>
      </c>
      <c r="W991" s="261">
        <f>E991/E991</f>
        <v>1</v>
      </c>
      <c r="X991" s="261">
        <f>E991/D991</f>
        <v>0.93446088794925997</v>
      </c>
    </row>
    <row r="992" spans="1:24" x14ac:dyDescent="0.4">
      <c r="B992" s="321"/>
      <c r="C992" s="177">
        <v>2021</v>
      </c>
      <c r="D992" s="285">
        <f>SUM(E992:F992)</f>
        <v>33.200000000000003</v>
      </c>
      <c r="E992" s="285">
        <v>29.6</v>
      </c>
      <c r="F992" s="285">
        <v>3.6</v>
      </c>
      <c r="G992" s="287"/>
      <c r="Q992" s="137" t="str">
        <f>$A$986&amp;C992&amp;"INC"</f>
        <v>MSEX2021INC</v>
      </c>
      <c r="R992" s="261">
        <f>E992/D992</f>
        <v>0.89156626506024095</v>
      </c>
      <c r="W992" s="261">
        <f>E992/E992</f>
        <v>1</v>
      </c>
      <c r="X992" s="261">
        <f>E992/D992</f>
        <v>0.89156626506024095</v>
      </c>
    </row>
    <row r="993" spans="1:24" ht="12.75" customHeight="1" x14ac:dyDescent="0.4">
      <c r="B993" s="321"/>
      <c r="C993" s="136">
        <v>2020</v>
      </c>
      <c r="D993" s="285">
        <f t="shared" ref="D993" si="504">SUM(E993:F993)</f>
        <v>36.5</v>
      </c>
      <c r="E993" s="285">
        <v>34</v>
      </c>
      <c r="F993" s="285">
        <v>2.5</v>
      </c>
      <c r="G993" s="287"/>
      <c r="Q993" s="137" t="str">
        <f>$A$986&amp;C993&amp;"INC"</f>
        <v>MSEX2020INC</v>
      </c>
      <c r="R993" s="261">
        <f t="shared" ref="R993" si="505">E993/D993</f>
        <v>0.93150684931506844</v>
      </c>
      <c r="W993" s="261">
        <f>E993/E993</f>
        <v>1</v>
      </c>
      <c r="X993" s="261">
        <f>E993/D993</f>
        <v>0.93150684931506844</v>
      </c>
    </row>
    <row r="994" spans="1:24" x14ac:dyDescent="0.4">
      <c r="B994" s="289"/>
      <c r="C994" s="12"/>
      <c r="D994" s="285"/>
      <c r="E994" s="285"/>
      <c r="F994" s="285"/>
      <c r="G994" s="287" t="s">
        <v>496</v>
      </c>
      <c r="R994" s="261"/>
      <c r="W994" s="261"/>
      <c r="X994" s="261"/>
    </row>
    <row r="995" spans="1:24" x14ac:dyDescent="0.4">
      <c r="B995" s="312" t="s">
        <v>110</v>
      </c>
      <c r="C995" s="12">
        <v>2022</v>
      </c>
      <c r="D995" s="285">
        <f>SUM(E995:G995)</f>
        <v>1074.45</v>
      </c>
      <c r="E995" s="285">
        <v>1079.18</v>
      </c>
      <c r="F995" s="285">
        <v>6.9989999999999997</v>
      </c>
      <c r="G995" s="287">
        <v>-11.728999999999999</v>
      </c>
      <c r="Q995" s="137" t="str">
        <f>$A$986&amp;C995&amp;"ASSETS"</f>
        <v>MSEX2022ASSETS</v>
      </c>
      <c r="R995" s="261">
        <f>IF(E995/D995&gt;100%, 100%, E995/D995)</f>
        <v>1</v>
      </c>
      <c r="W995" s="261">
        <f>E995/E995</f>
        <v>1</v>
      </c>
      <c r="X995" s="261">
        <f>E995/D995</f>
        <v>1.0044022523151379</v>
      </c>
    </row>
    <row r="996" spans="1:24" x14ac:dyDescent="0.4">
      <c r="B996" s="312"/>
      <c r="C996" s="177">
        <v>2021</v>
      </c>
      <c r="D996" s="285">
        <f>SUM(E996:G996)</f>
        <v>1020.0149999999999</v>
      </c>
      <c r="E996" s="285">
        <v>1022.116</v>
      </c>
      <c r="F996" s="285">
        <v>7.8109999999999999</v>
      </c>
      <c r="G996" s="287">
        <v>-9.9120000000000008</v>
      </c>
      <c r="Q996" s="137" t="str">
        <f>$A$986&amp;C996&amp;"ASSETS"</f>
        <v>MSEX2021ASSETS</v>
      </c>
      <c r="R996" s="261">
        <f>IF(E996/D996&gt;100%, 100%, E996/D996)</f>
        <v>1</v>
      </c>
      <c r="W996" s="261">
        <f>E996/E996</f>
        <v>1</v>
      </c>
      <c r="X996" s="261">
        <f>E996/D996</f>
        <v>1.0020597736307801</v>
      </c>
    </row>
    <row r="997" spans="1:24" x14ac:dyDescent="0.4">
      <c r="B997" s="313"/>
      <c r="C997" s="292">
        <v>2020</v>
      </c>
      <c r="D997" s="297">
        <f>SUM(E997:G997)</f>
        <v>976.47</v>
      </c>
      <c r="E997" s="297">
        <v>998.93200000000002</v>
      </c>
      <c r="F997" s="297">
        <v>8.2889999999999997</v>
      </c>
      <c r="G997" s="295">
        <v>-30.751000000000001</v>
      </c>
      <c r="Q997" s="137" t="str">
        <f>$A$986&amp;C997&amp;"ASSETS"</f>
        <v>MSEX2020ASSETS</v>
      </c>
      <c r="R997" s="261">
        <f>IF(E997/D997&gt;100%, 100%, E997/D997)</f>
        <v>1</v>
      </c>
      <c r="W997" s="261">
        <f>E997/E997</f>
        <v>1</v>
      </c>
      <c r="X997" s="261">
        <f>E997/D997</f>
        <v>1.0230032668694378</v>
      </c>
    </row>
    <row r="1000" spans="1:24" x14ac:dyDescent="0.4">
      <c r="A1000" s="172" t="s">
        <v>581</v>
      </c>
    </row>
    <row r="1001" spans="1:24" x14ac:dyDescent="0.4">
      <c r="A1001" s="137" t="s">
        <v>582</v>
      </c>
      <c r="E1001" s="298" t="s">
        <v>557</v>
      </c>
    </row>
    <row r="1002" spans="1:24" s="191" customFormat="1" ht="36.9" x14ac:dyDescent="0.4">
      <c r="A1002" s="191" t="s">
        <v>583</v>
      </c>
      <c r="B1002" s="299" t="s">
        <v>568</v>
      </c>
      <c r="C1002" s="278"/>
      <c r="D1002" s="279" t="s">
        <v>96</v>
      </c>
      <c r="E1002" s="300" t="s">
        <v>584</v>
      </c>
      <c r="F1002" s="300" t="s">
        <v>585</v>
      </c>
      <c r="G1002" s="300" t="s">
        <v>586</v>
      </c>
      <c r="H1002" s="281" t="s">
        <v>189</v>
      </c>
      <c r="I1002" s="66"/>
      <c r="J1002" s="66"/>
      <c r="K1002" s="66"/>
      <c r="L1002" s="66"/>
      <c r="M1002" s="66"/>
      <c r="Q1002" s="228"/>
      <c r="R1002" s="228" t="s">
        <v>562</v>
      </c>
      <c r="S1002" s="21" t="s">
        <v>103</v>
      </c>
      <c r="T1002" s="21" t="s">
        <v>104</v>
      </c>
      <c r="U1002" s="21" t="s">
        <v>105</v>
      </c>
      <c r="V1002" s="21" t="s">
        <v>106</v>
      </c>
      <c r="W1002" s="228" t="s">
        <v>563</v>
      </c>
      <c r="X1002" s="228" t="s">
        <v>564</v>
      </c>
    </row>
    <row r="1003" spans="1:24" s="191" customFormat="1" ht="14.4" x14ac:dyDescent="0.55000000000000004">
      <c r="B1003" s="312" t="s">
        <v>107</v>
      </c>
      <c r="C1003" s="177">
        <v>2022</v>
      </c>
      <c r="D1003" s="304">
        <f>SUM(E1003:H1003)</f>
        <v>620698</v>
      </c>
      <c r="E1003" s="304">
        <v>603000</v>
      </c>
      <c r="F1003" s="304">
        <v>12093</v>
      </c>
      <c r="G1003" s="304">
        <v>5605</v>
      </c>
      <c r="H1003" s="305">
        <v>0</v>
      </c>
      <c r="I1003" s="66"/>
      <c r="J1003" s="66"/>
      <c r="K1003" s="66"/>
      <c r="L1003" s="66"/>
      <c r="M1003" s="66"/>
      <c r="Q1003" s="137" t="str">
        <f>$A$1002&amp;C1003&amp;"REV"</f>
        <v>SJW2022REV</v>
      </c>
      <c r="R1003" s="272">
        <f>E1003/D1003</f>
        <v>0.97148693889782145</v>
      </c>
      <c r="S1003" s="137"/>
      <c r="T1003" s="137"/>
      <c r="U1003" s="137"/>
      <c r="V1003" s="137"/>
      <c r="W1003" s="272">
        <f>E1003/E1003</f>
        <v>1</v>
      </c>
      <c r="X1003" s="272">
        <f>E1003/D1003</f>
        <v>0.97148693889782145</v>
      </c>
    </row>
    <row r="1004" spans="1:24" s="191" customFormat="1" ht="14.4" x14ac:dyDescent="0.55000000000000004">
      <c r="B1004" s="312"/>
      <c r="C1004" s="177">
        <v>2021</v>
      </c>
      <c r="D1004" s="283">
        <f>SUM(E1004:H1004)</f>
        <v>573686</v>
      </c>
      <c r="E1004" s="283">
        <v>558154</v>
      </c>
      <c r="F1004" s="283">
        <v>10153</v>
      </c>
      <c r="G1004" s="283">
        <v>5379</v>
      </c>
      <c r="H1004" s="305">
        <v>0</v>
      </c>
      <c r="I1004" s="66"/>
      <c r="J1004" s="66"/>
      <c r="K1004" s="66"/>
      <c r="L1004" s="66"/>
      <c r="M1004" s="66"/>
      <c r="Q1004" s="137" t="str">
        <f>$A$1002&amp;C1004&amp;"REV"</f>
        <v>SJW2021REV</v>
      </c>
      <c r="R1004" s="272">
        <f>E1004/D1004</f>
        <v>0.97292595601077947</v>
      </c>
      <c r="S1004" s="137"/>
      <c r="T1004" s="137"/>
      <c r="U1004" s="137"/>
      <c r="V1004" s="137"/>
      <c r="W1004" s="272">
        <f>E1004/E1004</f>
        <v>1</v>
      </c>
      <c r="X1004" s="272">
        <f>E1004/D1004</f>
        <v>0.97292595601077947</v>
      </c>
    </row>
    <row r="1005" spans="1:24" x14ac:dyDescent="0.4">
      <c r="B1005" s="312"/>
      <c r="C1005" s="136">
        <v>2020</v>
      </c>
      <c r="D1005" s="285">
        <f>SUM(E1005:H1005)</f>
        <v>564526</v>
      </c>
      <c r="E1005" s="285">
        <v>548013</v>
      </c>
      <c r="F1005" s="285">
        <v>10981</v>
      </c>
      <c r="G1005" s="285">
        <v>5532</v>
      </c>
      <c r="H1005" s="290">
        <v>0</v>
      </c>
      <c r="Q1005" s="137" t="str">
        <f>$A$1002&amp;C1005&amp;"REV"</f>
        <v>SJW2020REV</v>
      </c>
      <c r="R1005" s="261">
        <f>E1005/D1005</f>
        <v>0.97074891147617648</v>
      </c>
      <c r="W1005" s="261">
        <f>E1005/E1005</f>
        <v>1</v>
      </c>
      <c r="X1005" s="261">
        <f>E1005/D1005</f>
        <v>0.97074891147617648</v>
      </c>
    </row>
    <row r="1006" spans="1:24" x14ac:dyDescent="0.4">
      <c r="B1006" s="289"/>
      <c r="C1006" s="12"/>
      <c r="D1006" s="285"/>
      <c r="E1006" s="285"/>
      <c r="F1006" s="285"/>
      <c r="G1006" s="285"/>
      <c r="H1006" s="290"/>
      <c r="R1006" s="261"/>
      <c r="W1006" s="261"/>
      <c r="X1006" s="261"/>
    </row>
    <row r="1007" spans="1:24" ht="25.5" customHeight="1" x14ac:dyDescent="0.4">
      <c r="B1007" s="321" t="s">
        <v>109</v>
      </c>
      <c r="C1007" s="12">
        <v>2022</v>
      </c>
      <c r="D1007" s="285">
        <f>SUM(E1007:H1007)</f>
        <v>130978</v>
      </c>
      <c r="E1007" s="285">
        <v>129859</v>
      </c>
      <c r="F1007" s="285">
        <v>2555</v>
      </c>
      <c r="G1007" s="285">
        <v>1886</v>
      </c>
      <c r="H1007" s="290">
        <v>-3322</v>
      </c>
      <c r="Q1007" s="137" t="str">
        <f>$A$1002&amp;C1007&amp;"INC"</f>
        <v>SJW2022INC</v>
      </c>
      <c r="R1007" s="261">
        <f>IF(E1007/D1007&gt;100%, 100%, E1007/D1007)</f>
        <v>0.99145658049443419</v>
      </c>
      <c r="W1007" s="261">
        <f>E1007/E1007</f>
        <v>1</v>
      </c>
      <c r="X1007" s="261">
        <f>E1007/D1007</f>
        <v>0.99145658049443419</v>
      </c>
    </row>
    <row r="1008" spans="1:24" x14ac:dyDescent="0.4">
      <c r="B1008" s="321"/>
      <c r="C1008" s="12">
        <v>2021</v>
      </c>
      <c r="D1008" s="285">
        <f>SUM(E1008:H1008)</f>
        <v>111159</v>
      </c>
      <c r="E1008" s="285">
        <v>108753</v>
      </c>
      <c r="F1008" s="285">
        <v>3015</v>
      </c>
      <c r="G1008" s="285">
        <v>1794</v>
      </c>
      <c r="H1008" s="290">
        <v>-2403</v>
      </c>
      <c r="Q1008" s="137" t="str">
        <f>$A$1002&amp;C1008&amp;"INC"</f>
        <v>SJW2021INC</v>
      </c>
      <c r="R1008" s="261">
        <f>IF(E1008/D1008&gt;100%, 100%, E1008/D1008)</f>
        <v>0.97835532885326426</v>
      </c>
      <c r="W1008" s="261">
        <f>E1008/E1008</f>
        <v>1</v>
      </c>
      <c r="X1008" s="261">
        <f>E1008/D1008</f>
        <v>0.97835532885326426</v>
      </c>
    </row>
    <row r="1009" spans="1:24" ht="12.75" customHeight="1" x14ac:dyDescent="0.4">
      <c r="B1009" s="321"/>
      <c r="C1009" s="136">
        <v>2020</v>
      </c>
      <c r="D1009" s="285">
        <f t="shared" ref="D1009:D1013" si="506">SUM(E1009:H1009)</f>
        <v>117670</v>
      </c>
      <c r="E1009" s="285">
        <v>116638</v>
      </c>
      <c r="F1009" s="285">
        <v>4038</v>
      </c>
      <c r="G1009" s="285">
        <v>2022</v>
      </c>
      <c r="H1009" s="290">
        <v>-5028</v>
      </c>
      <c r="Q1009" s="137" t="str">
        <f>$A$1002&amp;C1009&amp;"INC"</f>
        <v>SJW2020INC</v>
      </c>
      <c r="R1009" s="261">
        <f>IF(E1009/D1009&gt;100%, 100%, E1009/D1009)</f>
        <v>0.99122971020650974</v>
      </c>
      <c r="W1009" s="261">
        <f>E1009/E1009</f>
        <v>1</v>
      </c>
      <c r="X1009" s="261">
        <f>E1009/D1009</f>
        <v>0.99122971020650974</v>
      </c>
    </row>
    <row r="1010" spans="1:24" x14ac:dyDescent="0.4">
      <c r="B1010" s="289"/>
      <c r="C1010" s="12"/>
      <c r="D1010" s="285"/>
      <c r="E1010" s="285"/>
      <c r="F1010" s="285"/>
      <c r="G1010" s="285"/>
      <c r="H1010" s="290"/>
      <c r="R1010" s="261"/>
      <c r="W1010" s="261"/>
      <c r="X1010" s="261"/>
    </row>
    <row r="1011" spans="1:24" x14ac:dyDescent="0.4">
      <c r="B1011" s="312" t="s">
        <v>110</v>
      </c>
      <c r="C1011" s="12">
        <v>2022</v>
      </c>
      <c r="D1011" s="285">
        <f>SUM(E1011:H1011)</f>
        <v>3632624</v>
      </c>
      <c r="E1011" s="285">
        <v>3524328</v>
      </c>
      <c r="F1011" s="285">
        <v>4832</v>
      </c>
      <c r="G1011" s="285">
        <v>42801</v>
      </c>
      <c r="H1011" s="290">
        <v>60663</v>
      </c>
      <c r="Q1011" s="137" t="str">
        <f>$A$1002&amp;C1011&amp;"ASSETS"</f>
        <v>SJW2022ASSETS</v>
      </c>
      <c r="R1011" s="261">
        <f>E1011/D1011</f>
        <v>0.97018794127881114</v>
      </c>
      <c r="W1011" s="261">
        <f>E1011/E1011</f>
        <v>1</v>
      </c>
      <c r="X1011" s="261">
        <f>E1011/D1011</f>
        <v>0.97018794127881114</v>
      </c>
    </row>
    <row r="1012" spans="1:24" x14ac:dyDescent="0.4">
      <c r="B1012" s="312"/>
      <c r="C1012" s="12">
        <v>2021</v>
      </c>
      <c r="D1012" s="285">
        <f>SUM(E1012:H1012)</f>
        <v>3492395</v>
      </c>
      <c r="E1012" s="285">
        <v>3380637</v>
      </c>
      <c r="F1012" s="285">
        <v>6916</v>
      </c>
      <c r="G1012" s="285">
        <v>43383</v>
      </c>
      <c r="H1012" s="290">
        <v>61459</v>
      </c>
      <c r="Q1012" s="137" t="str">
        <f>$A$1002&amp;C1012&amp;"ASSETS"</f>
        <v>SJW2021ASSETS</v>
      </c>
      <c r="R1012" s="261">
        <f>E1012/D1012</f>
        <v>0.96799961058242268</v>
      </c>
      <c r="W1012" s="261">
        <f>E1012/E1012</f>
        <v>1</v>
      </c>
      <c r="X1012" s="261">
        <f>E1012/D1012</f>
        <v>0.96799961058242268</v>
      </c>
    </row>
    <row r="1013" spans="1:24" x14ac:dyDescent="0.4">
      <c r="B1013" s="313"/>
      <c r="C1013" s="292">
        <v>2020</v>
      </c>
      <c r="D1013" s="297">
        <f t="shared" si="506"/>
        <v>3311465</v>
      </c>
      <c r="E1013" s="297">
        <v>3197626</v>
      </c>
      <c r="F1013" s="297">
        <v>8869</v>
      </c>
      <c r="G1013" s="297">
        <v>44405</v>
      </c>
      <c r="H1013" s="306">
        <v>60565</v>
      </c>
      <c r="Q1013" s="137" t="str">
        <f>$A$1002&amp;C1013&amp;"ASSETS"</f>
        <v>SJW2020ASSETS</v>
      </c>
      <c r="R1013" s="261">
        <f t="shared" ref="R1013" si="507">E1013/D1013</f>
        <v>0.96562276817058312</v>
      </c>
      <c r="W1013" s="261">
        <f>E1013/E1013</f>
        <v>1</v>
      </c>
      <c r="X1013" s="261">
        <f>E1013/D1013</f>
        <v>0.96562276817058312</v>
      </c>
    </row>
    <row r="1016" spans="1:24" x14ac:dyDescent="0.4">
      <c r="A1016" s="172" t="s">
        <v>587</v>
      </c>
    </row>
    <row r="1017" spans="1:24" x14ac:dyDescent="0.4">
      <c r="A1017" s="137" t="s">
        <v>588</v>
      </c>
      <c r="E1017" s="324" t="s">
        <v>557</v>
      </c>
      <c r="F1017" s="325"/>
    </row>
    <row r="1018" spans="1:24" s="191" customFormat="1" ht="36.9" x14ac:dyDescent="0.4">
      <c r="A1018" s="191" t="s">
        <v>589</v>
      </c>
      <c r="B1018" s="299" t="s">
        <v>568</v>
      </c>
      <c r="C1018" s="278"/>
      <c r="D1018" s="279" t="s">
        <v>96</v>
      </c>
      <c r="E1018" s="300" t="s">
        <v>590</v>
      </c>
      <c r="F1018" s="300" t="s">
        <v>591</v>
      </c>
      <c r="G1018" s="281" t="s">
        <v>592</v>
      </c>
      <c r="H1018" s="307"/>
      <c r="I1018" s="66"/>
      <c r="J1018" s="66"/>
      <c r="K1018" s="66"/>
      <c r="L1018" s="66"/>
      <c r="M1018" s="66"/>
      <c r="Q1018" s="228"/>
      <c r="R1018" s="228" t="s">
        <v>562</v>
      </c>
      <c r="S1018" s="21" t="s">
        <v>103</v>
      </c>
      <c r="T1018" s="21" t="s">
        <v>104</v>
      </c>
      <c r="U1018" s="21" t="s">
        <v>105</v>
      </c>
      <c r="V1018" s="21" t="s">
        <v>106</v>
      </c>
      <c r="W1018" s="228" t="s">
        <v>563</v>
      </c>
      <c r="X1018" s="228" t="s">
        <v>564</v>
      </c>
    </row>
    <row r="1019" spans="1:24" s="191" customFormat="1" ht="14.4" x14ac:dyDescent="0.55000000000000004">
      <c r="B1019" s="312" t="s">
        <v>107</v>
      </c>
      <c r="C1019" s="177">
        <v>2022</v>
      </c>
      <c r="D1019" s="304">
        <f>SUM(E1019:G1019)</f>
        <v>2288032</v>
      </c>
      <c r="E1019" s="304">
        <v>1082972</v>
      </c>
      <c r="F1019" s="304">
        <v>1143362</v>
      </c>
      <c r="G1019" s="284">
        <v>61698</v>
      </c>
      <c r="H1019" s="307"/>
      <c r="I1019" s="66"/>
      <c r="J1019" s="66"/>
      <c r="K1019" s="66"/>
      <c r="L1019" s="66"/>
      <c r="M1019" s="66"/>
      <c r="Q1019" s="137" t="str">
        <f>$A$1018&amp;C1019&amp;"REV"</f>
        <v>WTRG2022REV</v>
      </c>
      <c r="R1019" s="272">
        <f>IF(SUM(E1019, F1019)/D1019&gt;100%, 100%, SUM(E1019, F1019)/D1019)</f>
        <v>0.97303446804939786</v>
      </c>
      <c r="S1019" s="137"/>
      <c r="T1019" s="137"/>
      <c r="U1019" s="137"/>
      <c r="V1019" s="137"/>
      <c r="W1019" s="272">
        <f>E1019/SUM(E1019, F1019)</f>
        <v>0.48643734498058244</v>
      </c>
      <c r="X1019" s="272">
        <f>E1019/D1019</f>
        <v>0.47332030321254248</v>
      </c>
    </row>
    <row r="1020" spans="1:24" s="191" customFormat="1" ht="14.4" x14ac:dyDescent="0.55000000000000004">
      <c r="B1020" s="312"/>
      <c r="C1020" s="177">
        <v>2021</v>
      </c>
      <c r="D1020" s="283">
        <f>SUM(E1020:G1020)</f>
        <v>1878144</v>
      </c>
      <c r="E1020" s="283">
        <v>980203</v>
      </c>
      <c r="F1020" s="283">
        <v>859902</v>
      </c>
      <c r="G1020" s="284">
        <v>38039</v>
      </c>
      <c r="H1020" s="307"/>
      <c r="I1020" s="66"/>
      <c r="J1020" s="66"/>
      <c r="K1020" s="66"/>
      <c r="L1020" s="66"/>
      <c r="M1020" s="66"/>
      <c r="Q1020" s="137" t="str">
        <f>$A$1018&amp;C1020&amp;"REV"</f>
        <v>WTRG2021REV</v>
      </c>
      <c r="R1020" s="272">
        <f>IF(SUM(E1020, F1020)/D1020&gt;100%, 100%, SUM(E1020, F1020)/D1020)</f>
        <v>0.97974649441150408</v>
      </c>
      <c r="S1020" s="137"/>
      <c r="T1020" s="137"/>
      <c r="U1020" s="137"/>
      <c r="V1020" s="137"/>
      <c r="W1020" s="272">
        <f>E1020/SUM(E1020, F1020)</f>
        <v>0.53268862374701442</v>
      </c>
      <c r="X1020" s="272">
        <f>E1020/D1020</f>
        <v>0.52189981172902611</v>
      </c>
    </row>
    <row r="1021" spans="1:24" ht="14.4" x14ac:dyDescent="0.55000000000000004">
      <c r="B1021" s="312"/>
      <c r="C1021" s="136">
        <v>2020</v>
      </c>
      <c r="D1021" s="285">
        <f>SUM(E1021:G1021)</f>
        <v>1462698</v>
      </c>
      <c r="E1021" s="285">
        <v>938540</v>
      </c>
      <c r="F1021" s="285">
        <v>506564</v>
      </c>
      <c r="G1021" s="287">
        <v>17594</v>
      </c>
      <c r="H1021" s="296"/>
      <c r="Q1021" s="137" t="str">
        <f>$A$1018&amp;C1021&amp;"REV"</f>
        <v>WTRG2020REV</v>
      </c>
      <c r="R1021" s="272">
        <f t="shared" ref="R1021" si="508">IF(SUM(E1021, F1021)/D1021&gt;100%, 100%, SUM(E1021, F1021)/D1021)</f>
        <v>0.98797154299793943</v>
      </c>
      <c r="W1021" s="272">
        <f t="shared" ref="W1021" si="509">E1021/SUM(E1021, F1021)</f>
        <v>0.64946190723989417</v>
      </c>
      <c r="X1021" s="261">
        <f>E1021/D1021</f>
        <v>0.64164988261418288</v>
      </c>
    </row>
    <row r="1022" spans="1:24" x14ac:dyDescent="0.4">
      <c r="B1022" s="289"/>
      <c r="C1022" s="12"/>
      <c r="D1022" s="285"/>
      <c r="E1022" s="285"/>
      <c r="F1022" s="285"/>
      <c r="G1022" s="287"/>
      <c r="H1022" s="296"/>
      <c r="R1022" s="261"/>
      <c r="W1022" s="261"/>
      <c r="X1022" s="261"/>
    </row>
    <row r="1023" spans="1:24" ht="24" customHeight="1" x14ac:dyDescent="0.55000000000000004">
      <c r="B1023" s="321" t="s">
        <v>109</v>
      </c>
      <c r="C1023" s="12">
        <v>2022</v>
      </c>
      <c r="D1023" s="285">
        <v>661187</v>
      </c>
      <c r="E1023" s="285">
        <f>1082972-(370850+201392+64472)</f>
        <v>446258</v>
      </c>
      <c r="F1023" s="285">
        <f>1143362-(239506+551009+118955+22642)</f>
        <v>211250</v>
      </c>
      <c r="G1023" s="287">
        <f>D1023-(E1023+F1023)</f>
        <v>3679</v>
      </c>
      <c r="H1023" s="296"/>
      <c r="Q1023" s="137" t="str">
        <f>$A$1018&amp;C1023&amp;"INC"</f>
        <v>WTRG2022INC</v>
      </c>
      <c r="R1023" s="272">
        <f>IF(SUM(E1023, F1023)/D1023&gt;100%, 100%, SUM(E1023, F1023)/D1023)</f>
        <v>0.99443576476851481</v>
      </c>
      <c r="W1023" s="272">
        <f>E1023/SUM(E1023, F1023)</f>
        <v>0.67871113355274759</v>
      </c>
      <c r="X1023" s="261">
        <f>E1023/D1023</f>
        <v>0.67493462515143221</v>
      </c>
    </row>
    <row r="1024" spans="1:24" ht="14.4" x14ac:dyDescent="0.55000000000000004">
      <c r="B1024" s="321"/>
      <c r="C1024" s="12">
        <v>2021</v>
      </c>
      <c r="D1024" s="285">
        <f>SUM(E1024:G1024)</f>
        <v>602709</v>
      </c>
      <c r="E1024" s="285">
        <v>402267</v>
      </c>
      <c r="F1024" s="285">
        <v>186279</v>
      </c>
      <c r="G1024" s="287">
        <v>14163</v>
      </c>
      <c r="H1024" s="296"/>
      <c r="Q1024" s="137" t="str">
        <f>$A$1018&amp;C1024&amp;"INC"</f>
        <v>WTRG2021INC</v>
      </c>
      <c r="R1024" s="272">
        <f>IF(SUM(E1024, F1024)/D1024&gt;100%, 100%, SUM(E1024, F1024)/D1024)</f>
        <v>0.97650109754458614</v>
      </c>
      <c r="W1024" s="272">
        <f>E1024/SUM(E1024, F1024)</f>
        <v>0.68349287906127987</v>
      </c>
      <c r="X1024" s="261">
        <f>E1024/D1024</f>
        <v>0.6674315465672489</v>
      </c>
    </row>
    <row r="1025" spans="1:24" ht="12.75" customHeight="1" x14ac:dyDescent="0.55000000000000004">
      <c r="B1025" s="321"/>
      <c r="C1025" s="136">
        <v>2020</v>
      </c>
      <c r="D1025" s="285">
        <f>SUM(E1025:G1025)</f>
        <v>434686</v>
      </c>
      <c r="E1025" s="285">
        <v>397275</v>
      </c>
      <c r="F1025" s="285">
        <v>56570</v>
      </c>
      <c r="G1025" s="287">
        <v>-19159</v>
      </c>
      <c r="H1025" s="296"/>
      <c r="Q1025" s="137" t="str">
        <f>$A$1018&amp;C1025&amp;"INC"</f>
        <v>WTRG2020INC</v>
      </c>
      <c r="R1025" s="272">
        <f t="shared" ref="R1025" si="510">IF(SUM(E1025, F1025)/D1025&gt;100%, 100%, SUM(E1025, F1025)/D1025)</f>
        <v>1</v>
      </c>
      <c r="W1025" s="272">
        <f t="shared" ref="W1025" si="511">E1025/SUM(E1025, F1025)</f>
        <v>0.87535392039132298</v>
      </c>
      <c r="X1025" s="261">
        <f>E1025/D1025</f>
        <v>0.91393557648509494</v>
      </c>
    </row>
    <row r="1026" spans="1:24" x14ac:dyDescent="0.4">
      <c r="B1026" s="289"/>
      <c r="C1026" s="12"/>
      <c r="D1026" s="285"/>
      <c r="E1026" s="285"/>
      <c r="F1026" s="285"/>
      <c r="G1026" s="287"/>
      <c r="H1026" s="296"/>
      <c r="R1026" s="261"/>
      <c r="W1026" s="261"/>
      <c r="X1026" s="261"/>
    </row>
    <row r="1027" spans="1:24" ht="14.4" x14ac:dyDescent="0.55000000000000004">
      <c r="B1027" s="312" t="s">
        <v>110</v>
      </c>
      <c r="C1027" s="12">
        <v>2022</v>
      </c>
      <c r="D1027" s="285">
        <f>SUM(E1027:G1027)</f>
        <v>15719107</v>
      </c>
      <c r="E1027" s="285">
        <v>8792633</v>
      </c>
      <c r="F1027" s="285">
        <v>6528654</v>
      </c>
      <c r="G1027" s="287">
        <v>397820</v>
      </c>
      <c r="H1027" s="296"/>
      <c r="Q1027" s="137" t="str">
        <f>$A$1018&amp;C1027&amp;"ASSETS"</f>
        <v>WTRG2022ASSETS</v>
      </c>
      <c r="R1027" s="272">
        <f>IF(SUM(E1027, F1027)/D1027&gt;100%, 100%, SUM(E1027, F1027)/D1027)</f>
        <v>0.97469194655905067</v>
      </c>
      <c r="W1027" s="272">
        <f>E1027/SUM(E1027, F1027)</f>
        <v>0.5738834472587061</v>
      </c>
      <c r="X1027" s="261">
        <f>E1027/D1027</f>
        <v>0.55935957430660666</v>
      </c>
    </row>
    <row r="1028" spans="1:24" ht="14.4" x14ac:dyDescent="0.55000000000000004">
      <c r="B1028" s="312"/>
      <c r="C1028" s="12">
        <v>2021</v>
      </c>
      <c r="D1028" s="285">
        <f>SUM(E1028:G1028)</f>
        <v>14658278</v>
      </c>
      <c r="E1028" s="285">
        <v>8403586</v>
      </c>
      <c r="F1028" s="285">
        <v>5960602</v>
      </c>
      <c r="G1028" s="287">
        <v>294090</v>
      </c>
      <c r="H1028" s="296"/>
      <c r="Q1028" s="137" t="str">
        <f>$A$1018&amp;C1028&amp;"ASSETS"</f>
        <v>WTRG2021ASSETS</v>
      </c>
      <c r="R1028" s="272">
        <f>IF(SUM(E1028, F1028)/D1028&gt;100%, 100%, SUM(E1028, F1028)/D1028)</f>
        <v>0.97993693392907411</v>
      </c>
      <c r="W1028" s="272">
        <f>E1028/SUM(E1028, F1028)</f>
        <v>0.58503731641496204</v>
      </c>
      <c r="X1028" s="261">
        <f>E1028/D1028</f>
        <v>0.5732996740817714</v>
      </c>
    </row>
    <row r="1029" spans="1:24" ht="14.4" x14ac:dyDescent="0.55000000000000004">
      <c r="B1029" s="313"/>
      <c r="C1029" s="292">
        <v>2020</v>
      </c>
      <c r="D1029" s="297">
        <f>SUM(E1029:G1029)</f>
        <v>13705277</v>
      </c>
      <c r="E1029" s="297">
        <v>7838034</v>
      </c>
      <c r="F1029" s="297">
        <v>5303507</v>
      </c>
      <c r="G1029" s="295">
        <v>563736</v>
      </c>
      <c r="H1029" s="296"/>
      <c r="Q1029" s="137" t="str">
        <f>$A$1018&amp;C1029&amp;"ASSETS"</f>
        <v>WTRG2020ASSETS</v>
      </c>
      <c r="R1029" s="272">
        <f t="shared" ref="R1029" si="512">IF(SUM(E1029, F1029)/D1029&gt;100%, 100%, SUM(E1029, F1029)/D1029)</f>
        <v>0.95886723048355749</v>
      </c>
      <c r="W1029" s="272">
        <f t="shared" ref="W1029" si="513">E1029/SUM(E1029, F1029)</f>
        <v>0.59643187964029487</v>
      </c>
      <c r="X1029" s="261">
        <f>E1029/D1029</f>
        <v>0.57189898460279209</v>
      </c>
    </row>
    <row r="1032" spans="1:24" x14ac:dyDescent="0.4">
      <c r="A1032" s="172" t="s">
        <v>593</v>
      </c>
    </row>
    <row r="1033" spans="1:24" x14ac:dyDescent="0.4">
      <c r="A1033" s="137" t="s">
        <v>594</v>
      </c>
      <c r="E1033" s="298" t="s">
        <v>557</v>
      </c>
    </row>
    <row r="1034" spans="1:24" s="191" customFormat="1" ht="36.9" x14ac:dyDescent="0.4">
      <c r="A1034" s="191" t="s">
        <v>595</v>
      </c>
      <c r="B1034" s="299" t="s">
        <v>568</v>
      </c>
      <c r="C1034" s="278"/>
      <c r="D1034" s="279" t="s">
        <v>96</v>
      </c>
      <c r="E1034" s="281" t="s">
        <v>584</v>
      </c>
      <c r="F1034" s="307"/>
      <c r="G1034" s="307"/>
      <c r="H1034" s="307"/>
      <c r="I1034" s="66"/>
      <c r="J1034" s="66"/>
      <c r="K1034" s="66"/>
      <c r="L1034" s="66"/>
      <c r="M1034" s="66"/>
      <c r="Q1034" s="228"/>
      <c r="R1034" s="228" t="s">
        <v>562</v>
      </c>
      <c r="S1034" s="21" t="s">
        <v>103</v>
      </c>
      <c r="T1034" s="21" t="s">
        <v>104</v>
      </c>
      <c r="U1034" s="21" t="s">
        <v>105</v>
      </c>
      <c r="V1034" s="21" t="s">
        <v>106</v>
      </c>
      <c r="W1034" s="228" t="s">
        <v>563</v>
      </c>
      <c r="X1034" s="228" t="s">
        <v>564</v>
      </c>
    </row>
    <row r="1035" spans="1:24" s="191" customFormat="1" ht="14.4" x14ac:dyDescent="0.55000000000000004">
      <c r="B1035" s="312" t="s">
        <v>107</v>
      </c>
      <c r="C1035" s="177">
        <v>2022</v>
      </c>
      <c r="D1035" s="304">
        <f>SUM(E1035)</f>
        <v>60061</v>
      </c>
      <c r="E1035" s="284">
        <v>60061</v>
      </c>
      <c r="F1035" s="307"/>
      <c r="G1035" s="307"/>
      <c r="H1035" s="307"/>
      <c r="I1035" s="66"/>
      <c r="J1035" s="66"/>
      <c r="K1035" s="66"/>
      <c r="L1035" s="66"/>
      <c r="M1035" s="66"/>
      <c r="Q1035" s="137" t="str">
        <f>$A$1034&amp;C1035&amp;"REV"</f>
        <v>YORW2022REV</v>
      </c>
      <c r="R1035" s="272">
        <f>E1035/D1035</f>
        <v>1</v>
      </c>
      <c r="S1035" s="137"/>
      <c r="T1035" s="137"/>
      <c r="U1035" s="137"/>
      <c r="V1035" s="137"/>
      <c r="W1035" s="272">
        <f>E1035/E1035</f>
        <v>1</v>
      </c>
      <c r="X1035" s="272">
        <f>E1035/D1035</f>
        <v>1</v>
      </c>
    </row>
    <row r="1036" spans="1:24" s="191" customFormat="1" ht="14.4" x14ac:dyDescent="0.55000000000000004">
      <c r="B1036" s="312"/>
      <c r="C1036" s="177">
        <v>2021</v>
      </c>
      <c r="D1036" s="283">
        <f>SUM(E1036)</f>
        <v>55119</v>
      </c>
      <c r="E1036" s="284">
        <v>55119</v>
      </c>
      <c r="F1036" s="307"/>
      <c r="G1036" s="307"/>
      <c r="H1036" s="307"/>
      <c r="I1036" s="66"/>
      <c r="J1036" s="66"/>
      <c r="K1036" s="66"/>
      <c r="L1036" s="66"/>
      <c r="M1036" s="66"/>
      <c r="Q1036" s="137" t="str">
        <f>$A$1034&amp;C1036&amp;"REV"</f>
        <v>YORW2021REV</v>
      </c>
      <c r="R1036" s="272">
        <f>E1036/D1036</f>
        <v>1</v>
      </c>
      <c r="S1036" s="137"/>
      <c r="T1036" s="137"/>
      <c r="U1036" s="137"/>
      <c r="V1036" s="137"/>
      <c r="W1036" s="272">
        <f>E1036/E1036</f>
        <v>1</v>
      </c>
      <c r="X1036" s="272">
        <f>E1036/D1036</f>
        <v>1</v>
      </c>
    </row>
    <row r="1037" spans="1:24" x14ac:dyDescent="0.4">
      <c r="B1037" s="312"/>
      <c r="C1037" s="136">
        <v>2020</v>
      </c>
      <c r="D1037" s="285">
        <f>SUM(E1037)</f>
        <v>53852</v>
      </c>
      <c r="E1037" s="287">
        <v>53852</v>
      </c>
      <c r="F1037" s="285"/>
      <c r="G1037" s="285"/>
      <c r="H1037" s="296"/>
      <c r="Q1037" s="137" t="str">
        <f>$A$1034&amp;C1037&amp;"REV"</f>
        <v>YORW2020REV</v>
      </c>
      <c r="R1037" s="261">
        <f>E1037/D1037</f>
        <v>1</v>
      </c>
      <c r="W1037" s="261">
        <f>E1037/E1037</f>
        <v>1</v>
      </c>
      <c r="X1037" s="261">
        <f>E1037/D1037</f>
        <v>1</v>
      </c>
    </row>
    <row r="1038" spans="1:24" x14ac:dyDescent="0.4">
      <c r="B1038" s="289"/>
      <c r="C1038" s="12"/>
      <c r="D1038" s="285"/>
      <c r="E1038" s="287"/>
      <c r="F1038" s="285"/>
      <c r="G1038" s="285"/>
      <c r="H1038" s="296"/>
      <c r="R1038" s="261"/>
      <c r="W1038" s="261"/>
      <c r="X1038" s="261"/>
    </row>
    <row r="1039" spans="1:24" ht="24" customHeight="1" x14ac:dyDescent="0.4">
      <c r="B1039" s="321" t="s">
        <v>109</v>
      </c>
      <c r="C1039" s="12">
        <v>2022</v>
      </c>
      <c r="D1039" s="285">
        <f>SUM(E1039)</f>
        <v>24483</v>
      </c>
      <c r="E1039" s="287">
        <v>24483</v>
      </c>
      <c r="F1039" s="285"/>
      <c r="G1039" s="285"/>
      <c r="H1039" s="296"/>
      <c r="Q1039" s="137" t="str">
        <f>$A$1034&amp;C1039&amp;"INC"</f>
        <v>YORW2022INC</v>
      </c>
      <c r="R1039" s="261">
        <f>E1039/D1039</f>
        <v>1</v>
      </c>
      <c r="W1039" s="261">
        <f>E1039/E1039</f>
        <v>1</v>
      </c>
      <c r="X1039" s="261">
        <f>E1039/D1039</f>
        <v>1</v>
      </c>
    </row>
    <row r="1040" spans="1:24" x14ac:dyDescent="0.4">
      <c r="B1040" s="321"/>
      <c r="C1040" s="12">
        <v>2021</v>
      </c>
      <c r="D1040" s="285">
        <f>SUM(E1040)</f>
        <v>23396</v>
      </c>
      <c r="E1040" s="287">
        <v>23396</v>
      </c>
      <c r="F1040" s="285"/>
      <c r="G1040" s="285"/>
      <c r="H1040" s="296"/>
      <c r="Q1040" s="137" t="str">
        <f>$A$1034&amp;C1040&amp;"INC"</f>
        <v>YORW2021INC</v>
      </c>
      <c r="R1040" s="261">
        <f>E1040/D1040</f>
        <v>1</v>
      </c>
      <c r="W1040" s="261">
        <f>E1040/E1040</f>
        <v>1</v>
      </c>
      <c r="X1040" s="261">
        <f>E1040/D1040</f>
        <v>1</v>
      </c>
    </row>
    <row r="1041" spans="2:24" ht="12.75" customHeight="1" x14ac:dyDescent="0.4">
      <c r="B1041" s="321"/>
      <c r="C1041" s="136">
        <v>2020</v>
      </c>
      <c r="D1041" s="285">
        <f t="shared" ref="D1041:D1045" si="514">SUM(E1041)</f>
        <v>24431</v>
      </c>
      <c r="E1041" s="287">
        <v>24431</v>
      </c>
      <c r="F1041" s="285"/>
      <c r="G1041" s="285"/>
      <c r="H1041" s="296"/>
      <c r="Q1041" s="137" t="str">
        <f>$A$1034&amp;C1041&amp;"INC"</f>
        <v>YORW2020INC</v>
      </c>
      <c r="R1041" s="261">
        <f t="shared" ref="R1041" si="515">E1041/D1041</f>
        <v>1</v>
      </c>
      <c r="W1041" s="261">
        <f>E1041/E1041</f>
        <v>1</v>
      </c>
      <c r="X1041" s="261">
        <f>E1041/D1041</f>
        <v>1</v>
      </c>
    </row>
    <row r="1042" spans="2:24" x14ac:dyDescent="0.4">
      <c r="B1042" s="289"/>
      <c r="C1042" s="12"/>
      <c r="D1042" s="285"/>
      <c r="E1042" s="287"/>
      <c r="F1042" s="285"/>
      <c r="G1042" s="285"/>
      <c r="H1042" s="296"/>
      <c r="R1042" s="261"/>
      <c r="W1042" s="261"/>
      <c r="X1042" s="261"/>
    </row>
    <row r="1043" spans="2:24" x14ac:dyDescent="0.4">
      <c r="B1043" s="312" t="s">
        <v>110</v>
      </c>
      <c r="C1043" s="12">
        <v>2022</v>
      </c>
      <c r="D1043" s="285">
        <f>SUM(E1043)</f>
        <v>510595</v>
      </c>
      <c r="E1043" s="287">
        <v>510595</v>
      </c>
      <c r="F1043" s="285"/>
      <c r="G1043" s="285"/>
      <c r="H1043" s="296"/>
      <c r="Q1043" s="137" t="str">
        <f>$A$1034&amp;C1043&amp;"ASSETS"</f>
        <v>YORW2022ASSETS</v>
      </c>
      <c r="R1043" s="261">
        <f>E1043/D1043</f>
        <v>1</v>
      </c>
      <c r="W1043" s="261">
        <f>E1043/E1043</f>
        <v>1</v>
      </c>
      <c r="X1043" s="261">
        <f>E1043/D1043</f>
        <v>1</v>
      </c>
    </row>
    <row r="1044" spans="2:24" x14ac:dyDescent="0.4">
      <c r="B1044" s="312"/>
      <c r="C1044" s="12">
        <v>2021</v>
      </c>
      <c r="D1044" s="285">
        <f>SUM(E1044)</f>
        <v>458853</v>
      </c>
      <c r="E1044" s="287">
        <v>458853</v>
      </c>
      <c r="F1044" s="285"/>
      <c r="G1044" s="285"/>
      <c r="H1044" s="296"/>
      <c r="Q1044" s="137" t="str">
        <f>$A$1034&amp;C1044&amp;"ASSETS"</f>
        <v>YORW2021ASSETS</v>
      </c>
      <c r="R1044" s="261">
        <f>E1044/D1044</f>
        <v>1</v>
      </c>
      <c r="W1044" s="261">
        <f>E1044/E1044</f>
        <v>1</v>
      </c>
      <c r="X1044" s="261">
        <f>E1044/D1044</f>
        <v>1</v>
      </c>
    </row>
    <row r="1045" spans="2:24" x14ac:dyDescent="0.4">
      <c r="B1045" s="313"/>
      <c r="C1045" s="292">
        <v>2020</v>
      </c>
      <c r="D1045" s="297">
        <f t="shared" si="514"/>
        <v>406957</v>
      </c>
      <c r="E1045" s="295">
        <v>406957</v>
      </c>
      <c r="F1045" s="285"/>
      <c r="G1045" s="285"/>
      <c r="H1045" s="296"/>
      <c r="Q1045" s="137" t="str">
        <f>$A$1034&amp;C1045&amp;"ASSETS"</f>
        <v>YORW2020ASSETS</v>
      </c>
      <c r="R1045" s="261">
        <f t="shared" ref="R1045" si="516">E1045/D1045</f>
        <v>1</v>
      </c>
      <c r="W1045" s="261">
        <f>E1045/E1045</f>
        <v>1</v>
      </c>
      <c r="X1045" s="261">
        <f>E1045/D1045</f>
        <v>1</v>
      </c>
    </row>
  </sheetData>
  <mergeCells count="32">
    <mergeCell ref="B1039:B1041"/>
    <mergeCell ref="B1043:B1045"/>
    <mergeCell ref="B1011:B1013"/>
    <mergeCell ref="E1017:F1017"/>
    <mergeCell ref="B1019:B1021"/>
    <mergeCell ref="B1023:B1025"/>
    <mergeCell ref="B1027:B1029"/>
    <mergeCell ref="B1035:B1037"/>
    <mergeCell ref="B1007:B1009"/>
    <mergeCell ref="E953:F953"/>
    <mergeCell ref="B955:B957"/>
    <mergeCell ref="B959:B961"/>
    <mergeCell ref="B963:B965"/>
    <mergeCell ref="B971:B973"/>
    <mergeCell ref="B975:B977"/>
    <mergeCell ref="B979:B981"/>
    <mergeCell ref="B987:B989"/>
    <mergeCell ref="B991:B993"/>
    <mergeCell ref="B995:B997"/>
    <mergeCell ref="B1003:B1005"/>
    <mergeCell ref="AF873:AL873"/>
    <mergeCell ref="Y882:AE882"/>
    <mergeCell ref="E937:F937"/>
    <mergeCell ref="B939:B941"/>
    <mergeCell ref="B943:B945"/>
    <mergeCell ref="B947:B949"/>
    <mergeCell ref="A24:D24"/>
    <mergeCell ref="E24:G24"/>
    <mergeCell ref="Y24:AD24"/>
    <mergeCell ref="Z29:AD29"/>
    <mergeCell ref="Y33:AD33"/>
    <mergeCell ref="Y873:AE873"/>
  </mergeCells>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04E1B-1F51-446A-8CE7-2A685FBF9800}">
  <sheetPr codeName="Sheet23"/>
  <dimension ref="A3:EZ61"/>
  <sheetViews>
    <sheetView zoomScale="80" zoomScaleNormal="80" workbookViewId="0">
      <selection activeCell="D9" sqref="D9:EZ9"/>
    </sheetView>
  </sheetViews>
  <sheetFormatPr defaultColWidth="9.1015625" defaultRowHeight="12.3" x14ac:dyDescent="0.4"/>
  <cols>
    <col min="1" max="1" width="50.578125" style="108" bestFit="1" customWidth="1"/>
    <col min="2" max="2" width="9.1015625" style="108" customWidth="1"/>
    <col min="3" max="3" width="41.26171875" style="108" bestFit="1" customWidth="1"/>
    <col min="4" max="4" width="18.734375" style="108" bestFit="1" customWidth="1"/>
    <col min="5" max="5" width="13.578125" style="108" bestFit="1" customWidth="1"/>
    <col min="6" max="7" width="18.734375" style="108" customWidth="1"/>
    <col min="8" max="8" width="13.578125" style="108" customWidth="1"/>
    <col min="9" max="10" width="18.734375" style="108" customWidth="1"/>
    <col min="11" max="11" width="13.578125" style="108" customWidth="1"/>
    <col min="12" max="12" width="18.734375" style="108" customWidth="1"/>
    <col min="13" max="13" width="13.734375" style="108" customWidth="1"/>
    <col min="14" max="14" width="19.26171875" style="108" customWidth="1"/>
    <col min="15" max="15" width="16.26171875" style="108" customWidth="1"/>
    <col min="16" max="16" width="20.83984375" style="108" customWidth="1"/>
    <col min="17" max="17" width="17.26171875" style="108" customWidth="1"/>
    <col min="18" max="18" width="18.734375" style="108" customWidth="1"/>
    <col min="19" max="19" width="18" style="108" customWidth="1"/>
    <col min="20" max="20" width="17" style="108" customWidth="1"/>
    <col min="21" max="21" width="20.734375" style="108" customWidth="1"/>
    <col min="22" max="22" width="17.1015625" style="108" customWidth="1"/>
    <col min="23" max="23" width="17.83984375" style="108" customWidth="1"/>
    <col min="24" max="24" width="21.26171875" style="108" customWidth="1"/>
    <col min="25" max="25" width="16.578125" style="108" customWidth="1"/>
    <col min="26" max="26" width="13.734375" style="108" customWidth="1"/>
    <col min="27" max="27" width="19.26171875" style="108" customWidth="1"/>
    <col min="28" max="28" width="16.26171875" style="108" customWidth="1"/>
    <col min="29" max="29" width="20.83984375" style="108" customWidth="1"/>
    <col min="30" max="30" width="17.26171875" style="108" customWidth="1"/>
    <col min="31" max="31" width="18.734375" style="108" customWidth="1"/>
    <col min="32" max="32" width="18" style="108" customWidth="1"/>
    <col min="33" max="33" width="17" style="108" customWidth="1"/>
    <col min="34" max="34" width="20.734375" style="108" customWidth="1"/>
    <col min="35" max="35" width="17.1015625" style="108" customWidth="1"/>
    <col min="36" max="36" width="17.83984375" style="108" customWidth="1"/>
    <col min="37" max="37" width="21.26171875" style="108" customWidth="1"/>
    <col min="38" max="38" width="16.578125" style="108" customWidth="1"/>
    <col min="39" max="39" width="13.734375" style="108" customWidth="1"/>
    <col min="40" max="40" width="19.26171875" style="108" customWidth="1"/>
    <col min="41" max="41" width="16.26171875" style="108" customWidth="1"/>
    <col min="42" max="42" width="20.83984375" style="108" customWidth="1"/>
    <col min="43" max="43" width="17.26171875" style="108" customWidth="1"/>
    <col min="44" max="44" width="18.734375" style="108" customWidth="1"/>
    <col min="45" max="45" width="18" style="108" customWidth="1"/>
    <col min="46" max="46" width="17" style="108" customWidth="1"/>
    <col min="47" max="47" width="20.734375" style="108" customWidth="1"/>
    <col min="48" max="48" width="17.1015625" style="108" customWidth="1"/>
    <col min="49" max="49" width="17.83984375" style="108" customWidth="1"/>
    <col min="50" max="50" width="21.26171875" style="108" customWidth="1"/>
    <col min="51" max="51" width="16.578125" style="108" customWidth="1"/>
    <col min="52" max="52" width="13.734375" style="108" customWidth="1"/>
    <col min="53" max="55" width="13.41796875" style="108" customWidth="1"/>
    <col min="56" max="56" width="17.26171875" style="108" customWidth="1"/>
    <col min="57" max="57" width="16.578125" style="108" customWidth="1"/>
    <col min="58" max="58" width="21.26171875" style="108" customWidth="1"/>
    <col min="59" max="59" width="16.26171875" style="108" customWidth="1"/>
    <col min="60" max="60" width="20" style="108" customWidth="1"/>
    <col min="61" max="61" width="21.41796875" style="108" customWidth="1"/>
    <col min="62" max="62" width="12" style="108" customWidth="1"/>
    <col min="63" max="63" width="20.1015625" style="108" customWidth="1"/>
    <col min="64" max="65" width="13.734375" style="108" customWidth="1"/>
    <col min="66" max="68" width="13.41796875" style="108" customWidth="1"/>
    <col min="69" max="69" width="17.26171875" style="108" customWidth="1"/>
    <col min="70" max="70" width="16.578125" style="108" customWidth="1"/>
    <col min="71" max="71" width="21.26171875" style="108" customWidth="1"/>
    <col min="72" max="72" width="16.26171875" style="108" customWidth="1"/>
    <col min="73" max="73" width="20" style="108" customWidth="1"/>
    <col min="74" max="74" width="21.41796875" style="108" customWidth="1"/>
    <col min="75" max="75" width="12" style="108" customWidth="1"/>
    <col min="76" max="76" width="20.1015625" style="108" customWidth="1"/>
    <col min="77" max="78" width="13.734375" style="108" customWidth="1"/>
    <col min="79" max="81" width="13.41796875" style="108" customWidth="1"/>
    <col min="82" max="82" width="17.26171875" style="108" customWidth="1"/>
    <col min="83" max="83" width="16.578125" style="108" customWidth="1"/>
    <col min="84" max="84" width="21.26171875" style="108" customWidth="1"/>
    <col min="85" max="85" width="16.26171875" style="108" customWidth="1"/>
    <col min="86" max="86" width="20" style="108" customWidth="1"/>
    <col min="87" max="87" width="21.41796875" style="108" customWidth="1"/>
    <col min="88" max="88" width="12" style="108" customWidth="1"/>
    <col min="89" max="89" width="20.1015625" style="108" customWidth="1"/>
    <col min="90" max="91" width="13.734375" style="108" customWidth="1"/>
    <col min="92" max="92" width="15.1015625" style="108" bestFit="1" customWidth="1"/>
    <col min="93" max="93" width="14.83984375" style="108" bestFit="1" customWidth="1"/>
    <col min="94" max="94" width="15.578125" style="108" bestFit="1" customWidth="1"/>
    <col min="95" max="95" width="17.26171875" style="108" bestFit="1" customWidth="1"/>
    <col min="96" max="96" width="20.1015625" style="108" bestFit="1" customWidth="1"/>
    <col min="97" max="97" width="21" style="108" bestFit="1" customWidth="1"/>
    <col min="98" max="98" width="17" style="108" bestFit="1" customWidth="1"/>
    <col min="99" max="99" width="19.41796875" style="108" bestFit="1" customWidth="1"/>
    <col min="100" max="100" width="17.1015625" style="108" bestFit="1" customWidth="1"/>
    <col min="101" max="101" width="13.1015625" style="108" bestFit="1" customWidth="1"/>
    <col min="102" max="102" width="20.1015625" style="108" bestFit="1" customWidth="1"/>
    <col min="103" max="103" width="15.1015625" style="108" bestFit="1" customWidth="1"/>
    <col min="104" max="104" width="13.734375" style="108" customWidth="1"/>
    <col min="105" max="105" width="15.1015625" style="108" bestFit="1" customWidth="1"/>
    <col min="106" max="106" width="14.83984375" style="108" bestFit="1" customWidth="1"/>
    <col min="107" max="107" width="15.578125" style="108" bestFit="1" customWidth="1"/>
    <col min="108" max="108" width="17.26171875" style="108" bestFit="1" customWidth="1"/>
    <col min="109" max="109" width="20.1015625" style="108" bestFit="1" customWidth="1"/>
    <col min="110" max="110" width="21" style="108" bestFit="1" customWidth="1"/>
    <col min="111" max="111" width="17" style="108" bestFit="1" customWidth="1"/>
    <col min="112" max="112" width="19.41796875" style="108" bestFit="1" customWidth="1"/>
    <col min="113" max="113" width="17.1015625" style="108" bestFit="1" customWidth="1"/>
    <col min="114" max="114" width="13.1015625" style="108" bestFit="1" customWidth="1"/>
    <col min="115" max="115" width="20.1015625" style="108" bestFit="1" customWidth="1"/>
    <col min="116" max="116" width="15.1015625" style="108" bestFit="1" customWidth="1"/>
    <col min="117" max="117" width="13.734375" style="108" customWidth="1"/>
    <col min="118" max="118" width="15.1015625" style="108" bestFit="1" customWidth="1"/>
    <col min="119" max="119" width="14.83984375" style="108" bestFit="1" customWidth="1"/>
    <col min="120" max="120" width="15.578125" style="108" bestFit="1" customWidth="1"/>
    <col min="121" max="121" width="17.26171875" style="108" bestFit="1" customWidth="1"/>
    <col min="122" max="122" width="20.1015625" style="108" bestFit="1" customWidth="1"/>
    <col min="123" max="123" width="21" style="108" bestFit="1" customWidth="1"/>
    <col min="124" max="124" width="17" style="108" bestFit="1" customWidth="1"/>
    <col min="125" max="125" width="19.41796875" style="108" bestFit="1" customWidth="1"/>
    <col min="126" max="126" width="17.1015625" style="108" bestFit="1" customWidth="1"/>
    <col min="127" max="127" width="13.1015625" style="108" bestFit="1" customWidth="1"/>
    <col min="128" max="128" width="20.1015625" style="108" bestFit="1" customWidth="1"/>
    <col min="129" max="129" width="15.1015625" style="108" bestFit="1" customWidth="1"/>
    <col min="130" max="130" width="9.1015625" style="108"/>
    <col min="131" max="133" width="9.83984375" style="108" bestFit="1" customWidth="1"/>
    <col min="134" max="134" width="9.1015625" style="108"/>
    <col min="135" max="135" width="6.734375" style="108" bestFit="1" customWidth="1"/>
    <col min="136" max="137" width="6.578125" style="108" bestFit="1" customWidth="1"/>
    <col min="138" max="138" width="9.1015625" style="108"/>
    <col min="139" max="142" width="14.41796875" style="108" bestFit="1" customWidth="1"/>
    <col min="143" max="143" width="15" style="108" bestFit="1" customWidth="1"/>
    <col min="144" max="144" width="15" style="118" bestFit="1" customWidth="1"/>
    <col min="145" max="148" width="14.41796875" style="108" bestFit="1" customWidth="1"/>
    <col min="149" max="150" width="15" style="108" bestFit="1" customWidth="1"/>
    <col min="151" max="154" width="14.41796875" style="108" bestFit="1" customWidth="1"/>
    <col min="155" max="155" width="15" style="108" bestFit="1" customWidth="1"/>
    <col min="156" max="156" width="13.1015625" style="108" customWidth="1"/>
    <col min="157" max="16384" width="9.1015625" style="108"/>
  </cols>
  <sheetData>
    <row r="3" spans="1:156" x14ac:dyDescent="0.4">
      <c r="AN3" s="109"/>
      <c r="AO3" s="109"/>
      <c r="AP3" s="109"/>
      <c r="AQ3" s="109"/>
      <c r="AR3" s="109"/>
      <c r="AS3" s="109"/>
      <c r="AT3" s="109"/>
      <c r="AU3" s="109"/>
      <c r="AV3" s="109"/>
      <c r="AW3" s="109"/>
      <c r="AX3" s="109"/>
    </row>
    <row r="6" spans="1:156" x14ac:dyDescent="0.4">
      <c r="A6" s="107" t="s">
        <v>262</v>
      </c>
      <c r="EI6" s="109"/>
      <c r="EJ6" s="109"/>
      <c r="EK6" s="109"/>
      <c r="EL6" s="109"/>
      <c r="EM6" s="110"/>
      <c r="EN6" s="111"/>
      <c r="EO6" s="110"/>
      <c r="EP6" s="110"/>
      <c r="EQ6" s="110"/>
      <c r="ER6" s="110"/>
      <c r="ES6" s="110"/>
      <c r="ET6" s="110"/>
      <c r="EU6" s="110"/>
      <c r="EV6" s="110"/>
      <c r="EW6" s="110"/>
      <c r="EX6" s="110"/>
      <c r="EY6" s="110"/>
    </row>
    <row r="7" spans="1:156" ht="36.9" x14ac:dyDescent="0.4">
      <c r="A7" s="108" t="s">
        <v>263</v>
      </c>
      <c r="B7" s="112" t="s">
        <v>264</v>
      </c>
      <c r="C7" s="108" t="s">
        <v>265</v>
      </c>
      <c r="D7" s="113" t="s">
        <v>266</v>
      </c>
      <c r="E7" s="113" t="s">
        <v>267</v>
      </c>
      <c r="F7" s="113" t="s">
        <v>268</v>
      </c>
      <c r="G7" s="113" t="s">
        <v>266</v>
      </c>
      <c r="H7" s="113" t="s">
        <v>267</v>
      </c>
      <c r="I7" s="113" t="s">
        <v>268</v>
      </c>
      <c r="J7" s="113" t="s">
        <v>266</v>
      </c>
      <c r="K7" s="113" t="s">
        <v>267</v>
      </c>
      <c r="L7" s="113" t="s">
        <v>268</v>
      </c>
      <c r="M7" s="113"/>
      <c r="N7" s="113" t="s">
        <v>269</v>
      </c>
      <c r="O7" s="113" t="s">
        <v>270</v>
      </c>
      <c r="P7" s="113" t="s">
        <v>271</v>
      </c>
      <c r="Q7" s="113" t="s">
        <v>272</v>
      </c>
      <c r="R7" s="113" t="s">
        <v>273</v>
      </c>
      <c r="S7" s="113" t="s">
        <v>274</v>
      </c>
      <c r="T7" s="113" t="s">
        <v>275</v>
      </c>
      <c r="U7" s="113" t="s">
        <v>276</v>
      </c>
      <c r="V7" s="113" t="s">
        <v>277</v>
      </c>
      <c r="W7" s="113" t="s">
        <v>278</v>
      </c>
      <c r="X7" s="113" t="s">
        <v>279</v>
      </c>
      <c r="Y7" s="114" t="s">
        <v>280</v>
      </c>
      <c r="Z7" s="113"/>
      <c r="AA7" s="113" t="s">
        <v>269</v>
      </c>
      <c r="AB7" s="113" t="s">
        <v>270</v>
      </c>
      <c r="AC7" s="113" t="s">
        <v>271</v>
      </c>
      <c r="AD7" s="113" t="s">
        <v>272</v>
      </c>
      <c r="AE7" s="113" t="s">
        <v>273</v>
      </c>
      <c r="AF7" s="113" t="s">
        <v>274</v>
      </c>
      <c r="AG7" s="113" t="s">
        <v>275</v>
      </c>
      <c r="AH7" s="113" t="s">
        <v>276</v>
      </c>
      <c r="AI7" s="113" t="s">
        <v>277</v>
      </c>
      <c r="AJ7" s="113" t="s">
        <v>278</v>
      </c>
      <c r="AK7" s="113" t="s">
        <v>279</v>
      </c>
      <c r="AL7" s="114" t="s">
        <v>280</v>
      </c>
      <c r="AM7" s="113"/>
      <c r="AN7" s="113" t="s">
        <v>269</v>
      </c>
      <c r="AO7" s="113" t="s">
        <v>270</v>
      </c>
      <c r="AP7" s="113" t="s">
        <v>271</v>
      </c>
      <c r="AQ7" s="113" t="s">
        <v>272</v>
      </c>
      <c r="AR7" s="113" t="s">
        <v>273</v>
      </c>
      <c r="AS7" s="113" t="s">
        <v>274</v>
      </c>
      <c r="AT7" s="113" t="s">
        <v>275</v>
      </c>
      <c r="AU7" s="113" t="s">
        <v>276</v>
      </c>
      <c r="AV7" s="113" t="s">
        <v>277</v>
      </c>
      <c r="AW7" s="113" t="s">
        <v>278</v>
      </c>
      <c r="AX7" s="113" t="s">
        <v>279</v>
      </c>
      <c r="AY7" s="114" t="s">
        <v>280</v>
      </c>
      <c r="AZ7" s="113"/>
      <c r="BA7" s="113" t="s">
        <v>281</v>
      </c>
      <c r="BB7" s="113" t="s">
        <v>282</v>
      </c>
      <c r="BC7" s="113" t="s">
        <v>283</v>
      </c>
      <c r="BD7" s="113" t="s">
        <v>284</v>
      </c>
      <c r="BE7" s="113" t="s">
        <v>285</v>
      </c>
      <c r="BF7" s="113" t="s">
        <v>286</v>
      </c>
      <c r="BG7" s="113" t="s">
        <v>287</v>
      </c>
      <c r="BH7" s="113" t="s">
        <v>288</v>
      </c>
      <c r="BI7" s="113" t="s">
        <v>289</v>
      </c>
      <c r="BJ7" s="113" t="s">
        <v>290</v>
      </c>
      <c r="BK7" s="113" t="s">
        <v>291</v>
      </c>
      <c r="BL7" s="114" t="s">
        <v>292</v>
      </c>
      <c r="BM7" s="113"/>
      <c r="BN7" s="113" t="s">
        <v>281</v>
      </c>
      <c r="BO7" s="113" t="s">
        <v>282</v>
      </c>
      <c r="BP7" s="113" t="s">
        <v>283</v>
      </c>
      <c r="BQ7" s="113" t="s">
        <v>284</v>
      </c>
      <c r="BR7" s="113" t="s">
        <v>285</v>
      </c>
      <c r="BS7" s="113" t="s">
        <v>286</v>
      </c>
      <c r="BT7" s="113" t="s">
        <v>287</v>
      </c>
      <c r="BU7" s="113" t="s">
        <v>288</v>
      </c>
      <c r="BV7" s="113" t="s">
        <v>289</v>
      </c>
      <c r="BW7" s="113" t="s">
        <v>290</v>
      </c>
      <c r="BX7" s="113" t="s">
        <v>291</v>
      </c>
      <c r="BY7" s="114" t="s">
        <v>292</v>
      </c>
      <c r="BZ7" s="113"/>
      <c r="CA7" s="113" t="s">
        <v>281</v>
      </c>
      <c r="CB7" s="113" t="s">
        <v>282</v>
      </c>
      <c r="CC7" s="113" t="s">
        <v>283</v>
      </c>
      <c r="CD7" s="113" t="s">
        <v>284</v>
      </c>
      <c r="CE7" s="113" t="s">
        <v>285</v>
      </c>
      <c r="CF7" s="113" t="s">
        <v>286</v>
      </c>
      <c r="CG7" s="113" t="s">
        <v>287</v>
      </c>
      <c r="CH7" s="113" t="s">
        <v>288</v>
      </c>
      <c r="CI7" s="113" t="s">
        <v>289</v>
      </c>
      <c r="CJ7" s="113" t="s">
        <v>290</v>
      </c>
      <c r="CK7" s="113" t="s">
        <v>291</v>
      </c>
      <c r="CL7" s="114" t="s">
        <v>292</v>
      </c>
      <c r="CM7" s="113"/>
      <c r="CN7" s="113" t="s">
        <v>293</v>
      </c>
      <c r="CO7" s="113" t="s">
        <v>294</v>
      </c>
      <c r="CP7" s="113" t="s">
        <v>295</v>
      </c>
      <c r="CQ7" s="113" t="s">
        <v>296</v>
      </c>
      <c r="CR7" s="113" t="s">
        <v>297</v>
      </c>
      <c r="CS7" s="113" t="s">
        <v>298</v>
      </c>
      <c r="CT7" s="113" t="s">
        <v>299</v>
      </c>
      <c r="CU7" s="113" t="s">
        <v>300</v>
      </c>
      <c r="CV7" s="113" t="s">
        <v>301</v>
      </c>
      <c r="CW7" s="113" t="s">
        <v>302</v>
      </c>
      <c r="CX7" s="113" t="s">
        <v>303</v>
      </c>
      <c r="CY7" s="114" t="s">
        <v>304</v>
      </c>
      <c r="CZ7" s="113"/>
      <c r="DA7" s="113" t="s">
        <v>293</v>
      </c>
      <c r="DB7" s="113" t="s">
        <v>294</v>
      </c>
      <c r="DC7" s="113" t="s">
        <v>295</v>
      </c>
      <c r="DD7" s="113" t="s">
        <v>296</v>
      </c>
      <c r="DE7" s="113" t="s">
        <v>297</v>
      </c>
      <c r="DF7" s="113" t="s">
        <v>298</v>
      </c>
      <c r="DG7" s="113" t="s">
        <v>299</v>
      </c>
      <c r="DH7" s="113" t="s">
        <v>300</v>
      </c>
      <c r="DI7" s="113" t="s">
        <v>301</v>
      </c>
      <c r="DJ7" s="113" t="s">
        <v>302</v>
      </c>
      <c r="DK7" s="113" t="s">
        <v>303</v>
      </c>
      <c r="DL7" s="114" t="s">
        <v>304</v>
      </c>
      <c r="DM7" s="113"/>
      <c r="DN7" s="113" t="s">
        <v>293</v>
      </c>
      <c r="DO7" s="113" t="s">
        <v>294</v>
      </c>
      <c r="DP7" s="113" t="s">
        <v>295</v>
      </c>
      <c r="DQ7" s="113" t="s">
        <v>296</v>
      </c>
      <c r="DR7" s="113" t="s">
        <v>297</v>
      </c>
      <c r="DS7" s="113" t="s">
        <v>298</v>
      </c>
      <c r="DT7" s="113" t="s">
        <v>299</v>
      </c>
      <c r="DU7" s="113" t="s">
        <v>300</v>
      </c>
      <c r="DV7" s="113" t="s">
        <v>301</v>
      </c>
      <c r="DW7" s="113" t="s">
        <v>302</v>
      </c>
      <c r="DX7" s="113" t="s">
        <v>303</v>
      </c>
      <c r="DY7" s="114" t="s">
        <v>304</v>
      </c>
      <c r="EA7" s="114" t="s">
        <v>305</v>
      </c>
      <c r="EB7" s="114" t="s">
        <v>305</v>
      </c>
      <c r="EC7" s="114" t="s">
        <v>305</v>
      </c>
      <c r="EE7" s="111" t="s">
        <v>306</v>
      </c>
      <c r="EF7" s="111" t="s">
        <v>306</v>
      </c>
      <c r="EG7" s="111" t="s">
        <v>306</v>
      </c>
      <c r="EI7" s="113" t="s">
        <v>307</v>
      </c>
      <c r="EJ7" s="113" t="s">
        <v>308</v>
      </c>
      <c r="EK7" s="113" t="s">
        <v>309</v>
      </c>
      <c r="EL7" s="113" t="s">
        <v>310</v>
      </c>
      <c r="EM7" s="115" t="s">
        <v>311</v>
      </c>
      <c r="EN7" s="114" t="s">
        <v>312</v>
      </c>
      <c r="EO7" s="115" t="s">
        <v>307</v>
      </c>
      <c r="EP7" s="115" t="s">
        <v>308</v>
      </c>
      <c r="EQ7" s="115" t="s">
        <v>309</v>
      </c>
      <c r="ER7" s="115" t="s">
        <v>310</v>
      </c>
      <c r="ES7" s="115" t="s">
        <v>311</v>
      </c>
      <c r="ET7" s="114" t="s">
        <v>312</v>
      </c>
      <c r="EU7" s="115" t="s">
        <v>307</v>
      </c>
      <c r="EV7" s="115" t="s">
        <v>308</v>
      </c>
      <c r="EW7" s="115" t="s">
        <v>309</v>
      </c>
      <c r="EX7" s="115" t="s">
        <v>310</v>
      </c>
      <c r="EY7" s="115" t="s">
        <v>311</v>
      </c>
      <c r="EZ7" s="114" t="s">
        <v>312</v>
      </c>
    </row>
    <row r="8" spans="1:156" x14ac:dyDescent="0.4">
      <c r="C8" s="116">
        <v>201138</v>
      </c>
      <c r="D8" s="108">
        <v>201335</v>
      </c>
      <c r="E8" s="108">
        <v>201360</v>
      </c>
      <c r="F8" s="108">
        <v>201385</v>
      </c>
      <c r="G8" s="108">
        <v>201335</v>
      </c>
      <c r="H8" s="108">
        <v>201360</v>
      </c>
      <c r="I8" s="108">
        <v>201385</v>
      </c>
      <c r="J8" s="108">
        <v>201335</v>
      </c>
      <c r="K8" s="108">
        <v>201360</v>
      </c>
      <c r="L8" s="108">
        <v>201385</v>
      </c>
      <c r="N8" s="108">
        <v>201336</v>
      </c>
      <c r="O8" s="108">
        <v>201337</v>
      </c>
      <c r="P8" s="108">
        <v>201338</v>
      </c>
      <c r="Q8" s="108">
        <v>201340</v>
      </c>
      <c r="R8" s="108">
        <v>201341</v>
      </c>
      <c r="S8" s="108">
        <v>201342</v>
      </c>
      <c r="T8" s="108">
        <v>201343</v>
      </c>
      <c r="U8" s="108">
        <v>201344</v>
      </c>
      <c r="V8" s="108">
        <v>201345</v>
      </c>
      <c r="W8" s="108">
        <v>201346</v>
      </c>
      <c r="X8" s="108">
        <v>201347</v>
      </c>
      <c r="AA8" s="108">
        <v>201336</v>
      </c>
      <c r="AB8" s="108">
        <v>201337</v>
      </c>
      <c r="AC8" s="108">
        <v>201338</v>
      </c>
      <c r="AD8" s="108">
        <v>201340</v>
      </c>
      <c r="AE8" s="108">
        <v>201341</v>
      </c>
      <c r="AF8" s="108">
        <v>201342</v>
      </c>
      <c r="AG8" s="108">
        <v>201343</v>
      </c>
      <c r="AH8" s="108">
        <v>201344</v>
      </c>
      <c r="AI8" s="108">
        <v>201345</v>
      </c>
      <c r="AJ8" s="108">
        <v>201346</v>
      </c>
      <c r="AK8" s="108">
        <v>201347</v>
      </c>
      <c r="AN8" s="108">
        <v>201336</v>
      </c>
      <c r="AO8" s="108">
        <v>201337</v>
      </c>
      <c r="AP8" s="108">
        <v>201338</v>
      </c>
      <c r="AQ8" s="108">
        <v>201340</v>
      </c>
      <c r="AR8" s="108">
        <v>201341</v>
      </c>
      <c r="AS8" s="108">
        <v>201342</v>
      </c>
      <c r="AT8" s="108">
        <v>201343</v>
      </c>
      <c r="AU8" s="108">
        <v>201344</v>
      </c>
      <c r="AV8" s="108">
        <v>201345</v>
      </c>
      <c r="AW8" s="108">
        <v>201346</v>
      </c>
      <c r="AX8" s="108">
        <v>201347</v>
      </c>
      <c r="BA8" s="108">
        <v>201361</v>
      </c>
      <c r="BB8" s="108">
        <v>201362</v>
      </c>
      <c r="BC8" s="108">
        <v>201363</v>
      </c>
      <c r="BD8" s="108">
        <v>201365</v>
      </c>
      <c r="BE8" s="108">
        <v>201366</v>
      </c>
      <c r="BF8" s="108">
        <v>201367</v>
      </c>
      <c r="BG8" s="108">
        <v>201368</v>
      </c>
      <c r="BH8" s="108">
        <v>201369</v>
      </c>
      <c r="BI8" s="108">
        <v>201370</v>
      </c>
      <c r="BJ8" s="108">
        <v>201371</v>
      </c>
      <c r="BK8" s="108">
        <v>201372</v>
      </c>
      <c r="BN8" s="108">
        <v>201361</v>
      </c>
      <c r="BO8" s="108">
        <v>201362</v>
      </c>
      <c r="BP8" s="108">
        <v>201363</v>
      </c>
      <c r="BQ8" s="108">
        <v>201365</v>
      </c>
      <c r="BR8" s="108">
        <v>201366</v>
      </c>
      <c r="BS8" s="108">
        <v>201367</v>
      </c>
      <c r="BT8" s="108">
        <v>201368</v>
      </c>
      <c r="BU8" s="108">
        <v>201369</v>
      </c>
      <c r="BV8" s="108">
        <v>201370</v>
      </c>
      <c r="BW8" s="108">
        <v>201371</v>
      </c>
      <c r="BX8" s="108">
        <v>201372</v>
      </c>
      <c r="CA8" s="108">
        <v>201361</v>
      </c>
      <c r="CB8" s="108">
        <v>201362</v>
      </c>
      <c r="CC8" s="108">
        <v>201363</v>
      </c>
      <c r="CD8" s="108">
        <v>201365</v>
      </c>
      <c r="CE8" s="108">
        <v>201366</v>
      </c>
      <c r="CF8" s="108">
        <v>201367</v>
      </c>
      <c r="CG8" s="108">
        <v>201368</v>
      </c>
      <c r="CH8" s="108">
        <v>201369</v>
      </c>
      <c r="CI8" s="108">
        <v>201370</v>
      </c>
      <c r="CJ8" s="108">
        <v>201371</v>
      </c>
      <c r="CK8" s="108">
        <v>201372</v>
      </c>
      <c r="CN8" s="108">
        <v>201386</v>
      </c>
      <c r="CO8" s="108">
        <v>201387</v>
      </c>
      <c r="CP8" s="108">
        <v>201388</v>
      </c>
      <c r="CQ8" s="108">
        <v>201389</v>
      </c>
      <c r="CR8" s="108">
        <v>201500</v>
      </c>
      <c r="CS8" s="108">
        <v>201501</v>
      </c>
      <c r="CT8" s="108">
        <v>201502</v>
      </c>
      <c r="CU8" s="108">
        <v>201503</v>
      </c>
      <c r="CV8" s="108">
        <v>201504</v>
      </c>
      <c r="CW8" s="108">
        <v>201505</v>
      </c>
      <c r="CX8" s="108">
        <v>201506</v>
      </c>
      <c r="DA8" s="108">
        <v>201386</v>
      </c>
      <c r="DB8" s="108">
        <v>201387</v>
      </c>
      <c r="DC8" s="108">
        <v>201388</v>
      </c>
      <c r="DD8" s="108">
        <v>201389</v>
      </c>
      <c r="DE8" s="108">
        <v>201500</v>
      </c>
      <c r="DF8" s="108">
        <v>201501</v>
      </c>
      <c r="DG8" s="108">
        <v>201502</v>
      </c>
      <c r="DH8" s="108">
        <v>201503</v>
      </c>
      <c r="DI8" s="108">
        <v>201504</v>
      </c>
      <c r="DJ8" s="108">
        <v>201505</v>
      </c>
      <c r="DK8" s="108">
        <v>201506</v>
      </c>
      <c r="DN8" s="108">
        <v>201386</v>
      </c>
      <c r="DO8" s="108">
        <v>201387</v>
      </c>
      <c r="DP8" s="108">
        <v>201388</v>
      </c>
      <c r="DQ8" s="108">
        <v>201389</v>
      </c>
      <c r="DR8" s="108">
        <v>201500</v>
      </c>
      <c r="DS8" s="108">
        <v>201501</v>
      </c>
      <c r="DT8" s="108">
        <v>201502</v>
      </c>
      <c r="DU8" s="108">
        <v>201503</v>
      </c>
      <c r="DV8" s="108">
        <v>201504</v>
      </c>
      <c r="DW8" s="108">
        <v>201505</v>
      </c>
      <c r="DX8" s="108">
        <v>201506</v>
      </c>
      <c r="EI8" s="109">
        <v>202284</v>
      </c>
      <c r="EJ8" s="109">
        <v>202232</v>
      </c>
      <c r="EK8" s="109">
        <v>202245</v>
      </c>
      <c r="EL8" s="109">
        <v>202258</v>
      </c>
      <c r="EM8" s="110">
        <v>202271</v>
      </c>
      <c r="EN8" s="111"/>
      <c r="EO8" s="110">
        <v>202284</v>
      </c>
      <c r="EP8" s="110">
        <v>202232</v>
      </c>
      <c r="EQ8" s="110">
        <v>202245</v>
      </c>
      <c r="ER8" s="110">
        <v>202258</v>
      </c>
      <c r="ES8" s="110">
        <v>202271</v>
      </c>
      <c r="ET8" s="111"/>
      <c r="EU8" s="110">
        <v>202284</v>
      </c>
      <c r="EV8" s="110">
        <v>202232</v>
      </c>
      <c r="EW8" s="110">
        <v>202245</v>
      </c>
      <c r="EX8" s="110">
        <v>202258</v>
      </c>
      <c r="EY8" s="110">
        <v>202271</v>
      </c>
      <c r="EZ8" s="111"/>
    </row>
    <row r="9" spans="1:156" x14ac:dyDescent="0.4">
      <c r="A9" s="109"/>
      <c r="B9" s="109"/>
      <c r="C9" s="109"/>
      <c r="D9" s="109" t="s">
        <v>598</v>
      </c>
      <c r="E9" s="109" t="s">
        <v>598</v>
      </c>
      <c r="F9" s="109" t="s">
        <v>598</v>
      </c>
      <c r="G9" s="109" t="s">
        <v>313</v>
      </c>
      <c r="H9" s="109" t="s">
        <v>313</v>
      </c>
      <c r="I9" s="109" t="s">
        <v>313</v>
      </c>
      <c r="J9" s="109" t="s">
        <v>314</v>
      </c>
      <c r="K9" s="109" t="s">
        <v>314</v>
      </c>
      <c r="L9" s="109" t="s">
        <v>314</v>
      </c>
      <c r="M9" s="109"/>
      <c r="N9" s="109" t="s">
        <v>598</v>
      </c>
      <c r="O9" s="109" t="s">
        <v>598</v>
      </c>
      <c r="P9" s="109" t="s">
        <v>598</v>
      </c>
      <c r="Q9" s="109" t="s">
        <v>598</v>
      </c>
      <c r="R9" s="109" t="s">
        <v>598</v>
      </c>
      <c r="S9" s="109" t="s">
        <v>598</v>
      </c>
      <c r="T9" s="109" t="s">
        <v>598</v>
      </c>
      <c r="U9" s="109" t="s">
        <v>598</v>
      </c>
      <c r="V9" s="109" t="s">
        <v>598</v>
      </c>
      <c r="W9" s="109" t="s">
        <v>598</v>
      </c>
      <c r="X9" s="109" t="s">
        <v>598</v>
      </c>
      <c r="Y9" s="109">
        <v>2022</v>
      </c>
      <c r="Z9" s="109"/>
      <c r="AA9" s="109" t="s">
        <v>313</v>
      </c>
      <c r="AB9" s="109" t="s">
        <v>313</v>
      </c>
      <c r="AC9" s="109" t="s">
        <v>313</v>
      </c>
      <c r="AD9" s="109" t="s">
        <v>313</v>
      </c>
      <c r="AE9" s="109" t="s">
        <v>313</v>
      </c>
      <c r="AF9" s="109" t="s">
        <v>313</v>
      </c>
      <c r="AG9" s="109" t="s">
        <v>313</v>
      </c>
      <c r="AH9" s="109" t="s">
        <v>313</v>
      </c>
      <c r="AI9" s="109" t="s">
        <v>313</v>
      </c>
      <c r="AJ9" s="109" t="s">
        <v>313</v>
      </c>
      <c r="AK9" s="109" t="s">
        <v>313</v>
      </c>
      <c r="AL9" s="114">
        <v>2021</v>
      </c>
      <c r="AM9" s="109"/>
      <c r="AN9" s="109" t="s">
        <v>314</v>
      </c>
      <c r="AO9" s="109" t="s">
        <v>314</v>
      </c>
      <c r="AP9" s="109" t="s">
        <v>314</v>
      </c>
      <c r="AQ9" s="109" t="s">
        <v>314</v>
      </c>
      <c r="AR9" s="109" t="s">
        <v>314</v>
      </c>
      <c r="AS9" s="109" t="s">
        <v>314</v>
      </c>
      <c r="AT9" s="109" t="s">
        <v>314</v>
      </c>
      <c r="AU9" s="109" t="s">
        <v>314</v>
      </c>
      <c r="AV9" s="109" t="s">
        <v>314</v>
      </c>
      <c r="AW9" s="109" t="s">
        <v>314</v>
      </c>
      <c r="AX9" s="109" t="s">
        <v>314</v>
      </c>
      <c r="AY9" s="114">
        <v>2020</v>
      </c>
      <c r="AZ9" s="109"/>
      <c r="BA9" s="109" t="s">
        <v>598</v>
      </c>
      <c r="BB9" s="109" t="s">
        <v>598</v>
      </c>
      <c r="BC9" s="109" t="s">
        <v>598</v>
      </c>
      <c r="BD9" s="109" t="s">
        <v>598</v>
      </c>
      <c r="BE9" s="109" t="s">
        <v>598</v>
      </c>
      <c r="BF9" s="109" t="s">
        <v>598</v>
      </c>
      <c r="BG9" s="109" t="s">
        <v>598</v>
      </c>
      <c r="BH9" s="109" t="s">
        <v>598</v>
      </c>
      <c r="BI9" s="109" t="s">
        <v>598</v>
      </c>
      <c r="BJ9" s="109" t="s">
        <v>598</v>
      </c>
      <c r="BK9" s="109" t="s">
        <v>598</v>
      </c>
      <c r="BL9" s="114">
        <v>2022</v>
      </c>
      <c r="BM9" s="109"/>
      <c r="BN9" s="109" t="s">
        <v>313</v>
      </c>
      <c r="BO9" s="109" t="s">
        <v>313</v>
      </c>
      <c r="BP9" s="109" t="s">
        <v>313</v>
      </c>
      <c r="BQ9" s="109" t="s">
        <v>313</v>
      </c>
      <c r="BR9" s="109" t="s">
        <v>313</v>
      </c>
      <c r="BS9" s="109" t="s">
        <v>313</v>
      </c>
      <c r="BT9" s="109" t="s">
        <v>313</v>
      </c>
      <c r="BU9" s="109" t="s">
        <v>313</v>
      </c>
      <c r="BV9" s="109" t="s">
        <v>313</v>
      </c>
      <c r="BW9" s="109" t="s">
        <v>313</v>
      </c>
      <c r="BX9" s="109" t="s">
        <v>313</v>
      </c>
      <c r="BY9" s="114">
        <v>2021</v>
      </c>
      <c r="BZ9" s="109"/>
      <c r="CA9" s="109" t="s">
        <v>314</v>
      </c>
      <c r="CB9" s="109" t="s">
        <v>314</v>
      </c>
      <c r="CC9" s="109" t="s">
        <v>314</v>
      </c>
      <c r="CD9" s="109" t="s">
        <v>314</v>
      </c>
      <c r="CE9" s="109" t="s">
        <v>314</v>
      </c>
      <c r="CF9" s="109" t="s">
        <v>314</v>
      </c>
      <c r="CG9" s="109" t="s">
        <v>314</v>
      </c>
      <c r="CH9" s="109" t="s">
        <v>314</v>
      </c>
      <c r="CI9" s="109" t="s">
        <v>314</v>
      </c>
      <c r="CJ9" s="109" t="s">
        <v>314</v>
      </c>
      <c r="CK9" s="109" t="s">
        <v>314</v>
      </c>
      <c r="CL9" s="114">
        <v>2020</v>
      </c>
      <c r="CM9" s="109"/>
      <c r="CN9" s="109" t="s">
        <v>598</v>
      </c>
      <c r="CO9" s="109" t="s">
        <v>598</v>
      </c>
      <c r="CP9" s="109" t="s">
        <v>598</v>
      </c>
      <c r="CQ9" s="109" t="s">
        <v>598</v>
      </c>
      <c r="CR9" s="109" t="s">
        <v>598</v>
      </c>
      <c r="CS9" s="109" t="s">
        <v>598</v>
      </c>
      <c r="CT9" s="109" t="s">
        <v>598</v>
      </c>
      <c r="CU9" s="109" t="s">
        <v>598</v>
      </c>
      <c r="CV9" s="109" t="s">
        <v>598</v>
      </c>
      <c r="CW9" s="109" t="s">
        <v>598</v>
      </c>
      <c r="CX9" s="109" t="s">
        <v>598</v>
      </c>
      <c r="CY9" s="114">
        <v>2022</v>
      </c>
      <c r="CZ9" s="109"/>
      <c r="DA9" s="109" t="s">
        <v>313</v>
      </c>
      <c r="DB9" s="109" t="s">
        <v>313</v>
      </c>
      <c r="DC9" s="109" t="s">
        <v>313</v>
      </c>
      <c r="DD9" s="109" t="s">
        <v>313</v>
      </c>
      <c r="DE9" s="109" t="s">
        <v>313</v>
      </c>
      <c r="DF9" s="109" t="s">
        <v>313</v>
      </c>
      <c r="DG9" s="109" t="s">
        <v>313</v>
      </c>
      <c r="DH9" s="109" t="s">
        <v>313</v>
      </c>
      <c r="DI9" s="109" t="s">
        <v>313</v>
      </c>
      <c r="DJ9" s="109" t="s">
        <v>313</v>
      </c>
      <c r="DK9" s="109" t="s">
        <v>313</v>
      </c>
      <c r="DL9" s="114">
        <v>2021</v>
      </c>
      <c r="DM9" s="109"/>
      <c r="DN9" s="109" t="s">
        <v>314</v>
      </c>
      <c r="DO9" s="109" t="s">
        <v>314</v>
      </c>
      <c r="DP9" s="109" t="s">
        <v>314</v>
      </c>
      <c r="DQ9" s="109" t="s">
        <v>314</v>
      </c>
      <c r="DR9" s="109" t="s">
        <v>314</v>
      </c>
      <c r="DS9" s="109" t="s">
        <v>314</v>
      </c>
      <c r="DT9" s="109" t="s">
        <v>314</v>
      </c>
      <c r="DU9" s="109" t="s">
        <v>314</v>
      </c>
      <c r="DV9" s="109" t="s">
        <v>314</v>
      </c>
      <c r="DW9" s="109" t="s">
        <v>314</v>
      </c>
      <c r="DX9" s="109" t="s">
        <v>314</v>
      </c>
      <c r="DY9" s="117">
        <v>2020</v>
      </c>
      <c r="EA9" s="118">
        <v>2022</v>
      </c>
      <c r="EB9" s="118">
        <v>2021</v>
      </c>
      <c r="EC9" s="118">
        <v>2020</v>
      </c>
      <c r="EE9" s="118" t="s">
        <v>598</v>
      </c>
      <c r="EF9" s="118" t="s">
        <v>313</v>
      </c>
      <c r="EG9" s="118" t="s">
        <v>314</v>
      </c>
      <c r="EI9" s="109" t="s">
        <v>598</v>
      </c>
      <c r="EJ9" s="109" t="s">
        <v>598</v>
      </c>
      <c r="EK9" s="109" t="s">
        <v>598</v>
      </c>
      <c r="EL9" s="109" t="s">
        <v>598</v>
      </c>
      <c r="EM9" s="109" t="s">
        <v>598</v>
      </c>
      <c r="EN9" s="114" t="s">
        <v>598</v>
      </c>
      <c r="EO9" s="110" t="s">
        <v>313</v>
      </c>
      <c r="EP9" s="110" t="s">
        <v>313</v>
      </c>
      <c r="EQ9" s="110" t="s">
        <v>313</v>
      </c>
      <c r="ER9" s="110" t="s">
        <v>313</v>
      </c>
      <c r="ES9" s="110" t="s">
        <v>313</v>
      </c>
      <c r="ET9" s="114" t="s">
        <v>313</v>
      </c>
      <c r="EU9" s="110" t="s">
        <v>314</v>
      </c>
      <c r="EV9" s="110" t="s">
        <v>314</v>
      </c>
      <c r="EW9" s="110" t="s">
        <v>314</v>
      </c>
      <c r="EX9" s="110" t="s">
        <v>314</v>
      </c>
      <c r="EY9" s="110" t="s">
        <v>314</v>
      </c>
      <c r="EZ9" s="114" t="s">
        <v>314</v>
      </c>
    </row>
    <row r="10" spans="1:156" x14ac:dyDescent="0.4">
      <c r="A10" s="109"/>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14"/>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ET10" s="118"/>
      <c r="EZ10" s="118"/>
    </row>
    <row r="11" spans="1:156" x14ac:dyDescent="0.4">
      <c r="A11" s="116" t="s">
        <v>315</v>
      </c>
      <c r="B11" s="119">
        <v>4061513</v>
      </c>
      <c r="C11" s="116" t="s">
        <v>13</v>
      </c>
      <c r="D11" s="120">
        <v>1211947</v>
      </c>
      <c r="E11" s="120">
        <v>0</v>
      </c>
      <c r="F11" s="120">
        <v>0</v>
      </c>
      <c r="G11" s="120">
        <v>1185385</v>
      </c>
      <c r="H11" s="120">
        <v>0</v>
      </c>
      <c r="I11" s="120">
        <v>0</v>
      </c>
      <c r="J11" s="120">
        <v>950885</v>
      </c>
      <c r="K11" s="120">
        <v>0</v>
      </c>
      <c r="L11" s="120">
        <v>0</v>
      </c>
      <c r="M11" s="120"/>
      <c r="N11" s="120">
        <v>736232</v>
      </c>
      <c r="O11" s="120">
        <v>85682</v>
      </c>
      <c r="P11" s="120">
        <v>158143</v>
      </c>
      <c r="Q11" s="120">
        <v>386</v>
      </c>
      <c r="R11" s="120">
        <v>6927</v>
      </c>
      <c r="S11" s="120">
        <v>29</v>
      </c>
      <c r="T11" s="120">
        <v>0</v>
      </c>
      <c r="U11" s="120">
        <v>0</v>
      </c>
      <c r="V11" s="120">
        <v>1770</v>
      </c>
      <c r="W11" s="120">
        <v>2919</v>
      </c>
      <c r="X11" s="120">
        <v>53846</v>
      </c>
      <c r="Y11" s="117">
        <f t="shared" ref="Y11:Y56" si="0">IFERROR(D11-IFERROR(SUM(N11:V11,IFERROR(-W11,0),X11),0),0)</f>
        <v>171851</v>
      </c>
      <c r="Z11" s="116"/>
      <c r="AA11" s="120">
        <v>741436</v>
      </c>
      <c r="AB11" s="120">
        <v>80529</v>
      </c>
      <c r="AC11" s="120">
        <v>154847</v>
      </c>
      <c r="AD11" s="120">
        <v>238</v>
      </c>
      <c r="AE11" s="120">
        <v>6681</v>
      </c>
      <c r="AF11" s="120">
        <v>29</v>
      </c>
      <c r="AG11" s="120">
        <v>0</v>
      </c>
      <c r="AH11" s="120">
        <v>0</v>
      </c>
      <c r="AI11" s="120">
        <v>4442</v>
      </c>
      <c r="AJ11" s="120">
        <v>2926</v>
      </c>
      <c r="AK11" s="120">
        <v>57975</v>
      </c>
      <c r="AL11" s="117">
        <f t="shared" ref="AL11:AL56" si="1">IFERROR(G11-IFERROR(SUM(AA11:AI11,IFERROR(-AJ11,0),AK11),0),0)</f>
        <v>142134</v>
      </c>
      <c r="AM11" s="120"/>
      <c r="AN11" s="120">
        <v>532221</v>
      </c>
      <c r="AO11" s="120">
        <v>67099</v>
      </c>
      <c r="AP11" s="120">
        <v>149842</v>
      </c>
      <c r="AQ11" s="120">
        <v>311</v>
      </c>
      <c r="AR11" s="120">
        <v>5389</v>
      </c>
      <c r="AS11" s="120">
        <v>29</v>
      </c>
      <c r="AT11" s="120">
        <v>0</v>
      </c>
      <c r="AU11" s="120">
        <v>0</v>
      </c>
      <c r="AV11" s="120">
        <v>7143</v>
      </c>
      <c r="AW11" s="120">
        <v>2580</v>
      </c>
      <c r="AX11" s="120">
        <v>47764</v>
      </c>
      <c r="AY11" s="117">
        <f t="shared" ref="AY11:AY56" si="2">IFERROR(J11-IFERROR(SUM(AN11:AV11,IFERROR(-AW11,0),AX11),0),0)</f>
        <v>143667</v>
      </c>
      <c r="AZ11" s="120"/>
      <c r="BA11" s="120">
        <v>0</v>
      </c>
      <c r="BB11" s="120">
        <v>0</v>
      </c>
      <c r="BC11" s="120">
        <v>0</v>
      </c>
      <c r="BD11" s="120">
        <v>0</v>
      </c>
      <c r="BE11" s="120">
        <v>0</v>
      </c>
      <c r="BF11" s="120">
        <v>0</v>
      </c>
      <c r="BG11" s="120">
        <v>0</v>
      </c>
      <c r="BH11" s="120">
        <v>0</v>
      </c>
      <c r="BI11" s="120">
        <v>0</v>
      </c>
      <c r="BJ11" s="120">
        <v>0</v>
      </c>
      <c r="BK11" s="120">
        <v>0</v>
      </c>
      <c r="BL11" s="117">
        <f t="shared" ref="BL11:BL56" si="3">IFERROR(E11-IFERROR(SUM(BA11:BI11,IFERROR(-BJ11,0),BK11),0),0)</f>
        <v>0</v>
      </c>
      <c r="BM11" s="120"/>
      <c r="BN11" s="120">
        <v>0</v>
      </c>
      <c r="BO11" s="120">
        <v>0</v>
      </c>
      <c r="BP11" s="120">
        <v>0</v>
      </c>
      <c r="BQ11" s="120">
        <v>0</v>
      </c>
      <c r="BR11" s="120">
        <v>0</v>
      </c>
      <c r="BS11" s="120">
        <v>0</v>
      </c>
      <c r="BT11" s="120">
        <v>0</v>
      </c>
      <c r="BU11" s="120">
        <v>0</v>
      </c>
      <c r="BV11" s="120">
        <v>0</v>
      </c>
      <c r="BW11" s="120">
        <v>0</v>
      </c>
      <c r="BX11" s="120">
        <v>0</v>
      </c>
      <c r="BY11" s="117">
        <f t="shared" ref="BY11:BY56" si="4">IFERROR(H11-IFERROR(SUM(BN11:BV11,IFERROR(-BW11,0),BX11),0),0)</f>
        <v>0</v>
      </c>
      <c r="BZ11" s="120"/>
      <c r="CA11" s="120">
        <v>0</v>
      </c>
      <c r="CB11" s="120">
        <v>0</v>
      </c>
      <c r="CC11" s="120">
        <v>0</v>
      </c>
      <c r="CD11" s="120">
        <v>0</v>
      </c>
      <c r="CE11" s="120">
        <v>0</v>
      </c>
      <c r="CF11" s="120">
        <v>0</v>
      </c>
      <c r="CG11" s="120">
        <v>0</v>
      </c>
      <c r="CH11" s="120">
        <v>0</v>
      </c>
      <c r="CI11" s="120">
        <v>0</v>
      </c>
      <c r="CJ11" s="120">
        <v>0</v>
      </c>
      <c r="CK11" s="120">
        <v>0</v>
      </c>
      <c r="CL11" s="117">
        <f t="shared" ref="CL11:CL56" si="5">IFERROR(K11-IFERROR(SUM(CA11:CI11,IFERROR(-CJ11,0),CK11),0),0)</f>
        <v>0</v>
      </c>
      <c r="CM11" s="120"/>
      <c r="CN11" s="120">
        <v>0</v>
      </c>
      <c r="CO11" s="120">
        <v>0</v>
      </c>
      <c r="CP11" s="120">
        <v>0</v>
      </c>
      <c r="CQ11" s="120">
        <v>0</v>
      </c>
      <c r="CR11" s="120">
        <v>0</v>
      </c>
      <c r="CS11" s="120">
        <v>0</v>
      </c>
      <c r="CT11" s="120">
        <v>0</v>
      </c>
      <c r="CU11" s="120">
        <v>0</v>
      </c>
      <c r="CV11" s="120">
        <v>0</v>
      </c>
      <c r="CW11" s="120">
        <v>0</v>
      </c>
      <c r="CX11" s="120">
        <v>0</v>
      </c>
      <c r="CY11" s="117">
        <f t="shared" ref="CY11:CY56" si="6">IFERROR(F11-IFERROR(SUM(CN11:CV11,IFERROR(-CW11,0),CX11),0),0)</f>
        <v>0</v>
      </c>
      <c r="CZ11" s="120"/>
      <c r="DA11" s="120">
        <v>0</v>
      </c>
      <c r="DB11" s="120">
        <v>0</v>
      </c>
      <c r="DC11" s="120">
        <v>0</v>
      </c>
      <c r="DD11" s="120">
        <v>0</v>
      </c>
      <c r="DE11" s="120">
        <v>0</v>
      </c>
      <c r="DF11" s="120">
        <v>0</v>
      </c>
      <c r="DG11" s="120">
        <v>0</v>
      </c>
      <c r="DH11" s="120">
        <v>0</v>
      </c>
      <c r="DI11" s="120">
        <v>0</v>
      </c>
      <c r="DJ11" s="120">
        <v>0</v>
      </c>
      <c r="DK11" s="120">
        <v>0</v>
      </c>
      <c r="DL11" s="117">
        <f t="shared" ref="DL11:DL56" si="7">IFERROR(I11-IFERROR(SUM(DA11:DI11,IFERROR(-DJ11,0),DK11),0),0)</f>
        <v>0</v>
      </c>
      <c r="DM11" s="120"/>
      <c r="DN11" s="120">
        <v>0</v>
      </c>
      <c r="DO11" s="120">
        <v>0</v>
      </c>
      <c r="DP11" s="120">
        <v>0</v>
      </c>
      <c r="DQ11" s="120">
        <v>0</v>
      </c>
      <c r="DR11" s="120">
        <v>0</v>
      </c>
      <c r="DS11" s="120">
        <v>0</v>
      </c>
      <c r="DT11" s="120">
        <v>0</v>
      </c>
      <c r="DU11" s="120">
        <v>0</v>
      </c>
      <c r="DV11" s="120">
        <v>0</v>
      </c>
      <c r="DW11" s="120">
        <v>0</v>
      </c>
      <c r="DX11" s="120">
        <v>0</v>
      </c>
      <c r="DY11" s="117">
        <f t="shared" ref="DY11:DY56" si="8">IFERROR(L11-IFERROR(SUM(DN11:DV11,IFERROR(-DW11,0),DX11),0),0)</f>
        <v>0</v>
      </c>
      <c r="DZ11" s="116"/>
      <c r="EA11" s="121">
        <f t="shared" ref="EA11:EC30" si="9">SUMIF($D$9:$DY$9,EA$9,$D11:$DY11)</f>
        <v>171851</v>
      </c>
      <c r="EB11" s="121">
        <f t="shared" si="9"/>
        <v>142134</v>
      </c>
      <c r="EC11" s="121">
        <f t="shared" si="9"/>
        <v>143667</v>
      </c>
      <c r="ED11" s="116"/>
      <c r="EE11" s="121" t="str">
        <f t="shared" ref="EE11:EE56" si="10">IF(SUM(D11:F11)-IFERROR(SUM(N11:V11,IFERROR(-W11,0),X11),0)-IFERROR(SUM(BA11:BI11,IFERROR(-BJ11,0),BK11),0)-IFERROR(SUM(CN11:CV11,IFERROR(-CW11,0),CX11),0)=EA11,"","ERROR")</f>
        <v/>
      </c>
      <c r="EF11" s="118" t="str">
        <f t="shared" ref="EF11:EF56" si="11">IF(SUM(G11:I11)-IFERROR(SUM(AA11:AI11,IFERROR(-AJ11,0),AK11),0)-IFERROR(SUM(BN11:BV11,IFERROR(-BW11,0),BX11),0)-IFERROR(SUM(DA11:DI11,IFERROR(-DJ11,0),DK11),0)=EB11,"","ERROR")</f>
        <v/>
      </c>
      <c r="EG11" s="118" t="str">
        <f t="shared" ref="EG11:EG56" si="12">IF(SUM(J11:L11)-IFERROR(SUM(AN11:AV11,IFERROR(-AW11,0),AX11),0)-IFERROR(SUM(CA11:CI11,IFERROR(-CJ11,0),CK11),0)-IFERROR(SUM(DN11:DV11,IFERROR(-DW11,0),DX11),0)=EC11,"","ERROR")</f>
        <v/>
      </c>
      <c r="EH11" s="116"/>
      <c r="EI11" s="120">
        <v>3147644</v>
      </c>
      <c r="EJ11" s="120">
        <v>3147644</v>
      </c>
      <c r="EK11" s="120">
        <v>0</v>
      </c>
      <c r="EL11" s="120">
        <v>0</v>
      </c>
      <c r="EM11" s="120">
        <v>0</v>
      </c>
      <c r="EN11" s="117">
        <f t="shared" ref="EN11:EN56" si="13">SUM(EJ11:EL11)</f>
        <v>3147644</v>
      </c>
      <c r="EO11" s="120">
        <v>3160120</v>
      </c>
      <c r="EP11" s="120">
        <v>3160120</v>
      </c>
      <c r="EQ11" s="120">
        <v>0</v>
      </c>
      <c r="ER11" s="120">
        <v>0</v>
      </c>
      <c r="ES11" s="120">
        <v>0</v>
      </c>
      <c r="ET11" s="117">
        <f t="shared" ref="ET11:ET56" si="14">SUM(EP11:ER11)</f>
        <v>3160120</v>
      </c>
      <c r="EU11" s="120">
        <v>3167607</v>
      </c>
      <c r="EV11" s="120">
        <v>3167607</v>
      </c>
      <c r="EW11" s="120">
        <v>0</v>
      </c>
      <c r="EX11" s="120">
        <v>0</v>
      </c>
      <c r="EY11" s="120">
        <v>0</v>
      </c>
      <c r="EZ11" s="117">
        <f t="shared" ref="EZ11:EZ56" si="15">SUM(EV11:EX11)</f>
        <v>3167607</v>
      </c>
    </row>
    <row r="12" spans="1:156" x14ac:dyDescent="0.4">
      <c r="A12" s="116" t="s">
        <v>317</v>
      </c>
      <c r="B12" s="119">
        <v>4063281</v>
      </c>
      <c r="C12" s="116" t="s">
        <v>13</v>
      </c>
      <c r="D12" s="120">
        <v>85874</v>
      </c>
      <c r="E12" s="120">
        <v>23894</v>
      </c>
      <c r="F12" s="120">
        <v>10257</v>
      </c>
      <c r="G12" s="120">
        <v>76246</v>
      </c>
      <c r="H12" s="120">
        <v>19298</v>
      </c>
      <c r="I12" s="120">
        <v>10162</v>
      </c>
      <c r="J12" s="120">
        <v>59765</v>
      </c>
      <c r="K12" s="120">
        <v>14009</v>
      </c>
      <c r="L12" s="120">
        <v>9896</v>
      </c>
      <c r="M12" s="120"/>
      <c r="N12" s="120">
        <v>76049</v>
      </c>
      <c r="O12" s="120">
        <v>872</v>
      </c>
      <c r="P12" s="120">
        <v>2870</v>
      </c>
      <c r="Q12" s="120">
        <v>0</v>
      </c>
      <c r="R12" s="120">
        <v>0</v>
      </c>
      <c r="S12" s="120">
        <v>0</v>
      </c>
      <c r="T12" s="120">
        <v>90</v>
      </c>
      <c r="U12" s="120">
        <v>0</v>
      </c>
      <c r="V12" s="120">
        <v>0</v>
      </c>
      <c r="W12" s="120">
        <v>0</v>
      </c>
      <c r="X12" s="120">
        <v>2531</v>
      </c>
      <c r="Y12" s="117">
        <f t="shared" si="0"/>
        <v>3462</v>
      </c>
      <c r="Z12" s="120"/>
      <c r="AA12" s="120">
        <v>66275</v>
      </c>
      <c r="AB12" s="120">
        <v>1010</v>
      </c>
      <c r="AC12" s="120">
        <v>2712</v>
      </c>
      <c r="AD12" s="120">
        <v>0</v>
      </c>
      <c r="AE12" s="120">
        <v>0</v>
      </c>
      <c r="AF12" s="120">
        <v>0</v>
      </c>
      <c r="AG12" s="120">
        <v>154</v>
      </c>
      <c r="AH12" s="120">
        <v>0</v>
      </c>
      <c r="AI12" s="120">
        <v>0</v>
      </c>
      <c r="AJ12" s="120">
        <v>0</v>
      </c>
      <c r="AK12" s="120">
        <v>2005</v>
      </c>
      <c r="AL12" s="117">
        <f t="shared" si="1"/>
        <v>4090</v>
      </c>
      <c r="AM12" s="120"/>
      <c r="AN12" s="120">
        <v>49757</v>
      </c>
      <c r="AO12" s="120">
        <v>766</v>
      </c>
      <c r="AP12" s="120">
        <v>2572</v>
      </c>
      <c r="AQ12" s="120">
        <v>0</v>
      </c>
      <c r="AR12" s="120">
        <v>-79</v>
      </c>
      <c r="AS12" s="120">
        <v>0</v>
      </c>
      <c r="AT12" s="120">
        <v>154</v>
      </c>
      <c r="AU12" s="120">
        <v>0</v>
      </c>
      <c r="AV12" s="120">
        <v>0</v>
      </c>
      <c r="AW12" s="120">
        <v>0</v>
      </c>
      <c r="AX12" s="120">
        <v>2005</v>
      </c>
      <c r="AY12" s="117">
        <f t="shared" si="2"/>
        <v>4590</v>
      </c>
      <c r="AZ12" s="120"/>
      <c r="BA12" s="120">
        <v>20367</v>
      </c>
      <c r="BB12" s="120">
        <v>599</v>
      </c>
      <c r="BC12" s="120">
        <v>1703</v>
      </c>
      <c r="BD12" s="120">
        <v>0</v>
      </c>
      <c r="BE12" s="120">
        <v>0</v>
      </c>
      <c r="BF12" s="120">
        <v>0</v>
      </c>
      <c r="BG12" s="120">
        <v>65</v>
      </c>
      <c r="BH12" s="120">
        <v>0</v>
      </c>
      <c r="BI12" s="120">
        <v>0</v>
      </c>
      <c r="BJ12" s="120">
        <v>0</v>
      </c>
      <c r="BK12" s="120">
        <v>388</v>
      </c>
      <c r="BL12" s="117">
        <f t="shared" si="3"/>
        <v>772</v>
      </c>
      <c r="BM12" s="120"/>
      <c r="BN12" s="120">
        <v>16550</v>
      </c>
      <c r="BO12" s="120">
        <v>513</v>
      </c>
      <c r="BP12" s="120">
        <v>1588</v>
      </c>
      <c r="BQ12" s="120">
        <v>0</v>
      </c>
      <c r="BR12" s="120">
        <v>0</v>
      </c>
      <c r="BS12" s="120">
        <v>0</v>
      </c>
      <c r="BT12" s="120">
        <v>111</v>
      </c>
      <c r="BU12" s="120">
        <v>0</v>
      </c>
      <c r="BV12" s="120">
        <v>0</v>
      </c>
      <c r="BW12" s="120">
        <v>0</v>
      </c>
      <c r="BX12" s="120">
        <v>322</v>
      </c>
      <c r="BY12" s="117">
        <f t="shared" si="4"/>
        <v>214</v>
      </c>
      <c r="BZ12" s="120"/>
      <c r="CA12" s="120">
        <v>10757</v>
      </c>
      <c r="CB12" s="120">
        <v>476</v>
      </c>
      <c r="CC12" s="120">
        <v>1479</v>
      </c>
      <c r="CD12" s="120">
        <v>0</v>
      </c>
      <c r="CE12" s="120">
        <v>-72</v>
      </c>
      <c r="CF12" s="120">
        <v>0</v>
      </c>
      <c r="CG12" s="120">
        <v>111</v>
      </c>
      <c r="CH12" s="120">
        <v>0</v>
      </c>
      <c r="CI12" s="120">
        <v>0</v>
      </c>
      <c r="CJ12" s="120">
        <v>0</v>
      </c>
      <c r="CK12" s="120">
        <v>334</v>
      </c>
      <c r="CL12" s="117">
        <f t="shared" si="5"/>
        <v>924</v>
      </c>
      <c r="CM12" s="120"/>
      <c r="CN12" s="120">
        <v>4067</v>
      </c>
      <c r="CO12" s="120">
        <v>833</v>
      </c>
      <c r="CP12" s="120">
        <v>1959</v>
      </c>
      <c r="CQ12" s="120">
        <v>0</v>
      </c>
      <c r="CR12" s="120">
        <v>0</v>
      </c>
      <c r="CS12" s="120">
        <v>0</v>
      </c>
      <c r="CT12" s="120">
        <v>124</v>
      </c>
      <c r="CU12" s="120">
        <v>0</v>
      </c>
      <c r="CV12" s="120">
        <v>0</v>
      </c>
      <c r="CW12" s="120">
        <v>0</v>
      </c>
      <c r="CX12" s="120">
        <v>654</v>
      </c>
      <c r="CY12" s="117">
        <f t="shared" si="6"/>
        <v>2620</v>
      </c>
      <c r="CZ12" s="120"/>
      <c r="DA12" s="120">
        <v>3811</v>
      </c>
      <c r="DB12" s="120">
        <v>698</v>
      </c>
      <c r="DC12" s="120">
        <v>1894</v>
      </c>
      <c r="DD12" s="120">
        <v>0</v>
      </c>
      <c r="DE12" s="120">
        <v>0</v>
      </c>
      <c r="DF12" s="120">
        <v>0</v>
      </c>
      <c r="DG12" s="120">
        <v>212</v>
      </c>
      <c r="DH12" s="120">
        <v>0</v>
      </c>
      <c r="DI12" s="120">
        <v>0</v>
      </c>
      <c r="DJ12" s="120">
        <v>0</v>
      </c>
      <c r="DK12" s="120">
        <v>643</v>
      </c>
      <c r="DL12" s="117">
        <f t="shared" si="7"/>
        <v>2904</v>
      </c>
      <c r="DM12" s="120"/>
      <c r="DN12" s="120">
        <v>3531</v>
      </c>
      <c r="DO12" s="120">
        <v>579</v>
      </c>
      <c r="DP12" s="120">
        <v>1769</v>
      </c>
      <c r="DQ12" s="120">
        <v>0</v>
      </c>
      <c r="DR12" s="120">
        <v>-45</v>
      </c>
      <c r="DS12" s="120">
        <v>0</v>
      </c>
      <c r="DT12" s="120">
        <v>212</v>
      </c>
      <c r="DU12" s="120">
        <v>0</v>
      </c>
      <c r="DV12" s="120">
        <v>0</v>
      </c>
      <c r="DW12" s="120">
        <v>0</v>
      </c>
      <c r="DX12" s="120">
        <v>624</v>
      </c>
      <c r="DY12" s="117">
        <f t="shared" si="8"/>
        <v>3226</v>
      </c>
      <c r="DZ12" s="116"/>
      <c r="EA12" s="121">
        <f t="shared" si="9"/>
        <v>6854</v>
      </c>
      <c r="EB12" s="121">
        <f t="shared" si="9"/>
        <v>7208</v>
      </c>
      <c r="EC12" s="121">
        <f t="shared" si="9"/>
        <v>8740</v>
      </c>
      <c r="ED12" s="116"/>
      <c r="EE12" s="121" t="str">
        <f t="shared" si="10"/>
        <v/>
      </c>
      <c r="EF12" s="118" t="str">
        <f t="shared" si="11"/>
        <v/>
      </c>
      <c r="EG12" s="118" t="str">
        <f t="shared" si="12"/>
        <v/>
      </c>
      <c r="EH12" s="116"/>
      <c r="EI12" s="120">
        <v>114878</v>
      </c>
      <c r="EJ12" s="120">
        <v>46408</v>
      </c>
      <c r="EK12" s="120">
        <v>19423</v>
      </c>
      <c r="EL12" s="120">
        <v>39247</v>
      </c>
      <c r="EM12" s="120">
        <v>9800</v>
      </c>
      <c r="EN12" s="117">
        <f t="shared" si="13"/>
        <v>105078</v>
      </c>
      <c r="EO12" s="120">
        <v>112619</v>
      </c>
      <c r="EP12" s="120">
        <v>45446</v>
      </c>
      <c r="EQ12" s="120">
        <v>18060</v>
      </c>
      <c r="ER12" s="120">
        <v>38652</v>
      </c>
      <c r="ES12" s="120">
        <v>10461</v>
      </c>
      <c r="ET12" s="117">
        <f t="shared" si="14"/>
        <v>102158</v>
      </c>
      <c r="EU12" s="120">
        <v>106953</v>
      </c>
      <c r="EV12" s="120">
        <v>41899</v>
      </c>
      <c r="EW12" s="120">
        <v>18121</v>
      </c>
      <c r="EX12" s="120">
        <v>39054</v>
      </c>
      <c r="EY12" s="120">
        <v>6903</v>
      </c>
      <c r="EZ12" s="117">
        <f t="shared" si="15"/>
        <v>99074</v>
      </c>
    </row>
    <row r="13" spans="1:156" x14ac:dyDescent="0.4">
      <c r="A13" s="116" t="s">
        <v>318</v>
      </c>
      <c r="B13" s="119">
        <v>4272394</v>
      </c>
      <c r="C13" s="116" t="s">
        <v>21</v>
      </c>
      <c r="D13" s="120">
        <v>2733194</v>
      </c>
      <c r="E13" s="120">
        <v>1180043</v>
      </c>
      <c r="F13" s="120">
        <v>0</v>
      </c>
      <c r="G13" s="120">
        <v>1962947</v>
      </c>
      <c r="H13" s="120">
        <v>957224</v>
      </c>
      <c r="I13" s="120">
        <v>0</v>
      </c>
      <c r="J13" s="120">
        <v>1800595</v>
      </c>
      <c r="K13" s="120">
        <v>763874</v>
      </c>
      <c r="L13" s="120">
        <v>0</v>
      </c>
      <c r="M13" s="120"/>
      <c r="N13" s="120">
        <v>1236874</v>
      </c>
      <c r="O13" s="120">
        <v>175664</v>
      </c>
      <c r="P13" s="120">
        <v>367237</v>
      </c>
      <c r="Q13" s="120">
        <v>0</v>
      </c>
      <c r="R13" s="120">
        <v>56995</v>
      </c>
      <c r="S13" s="120">
        <v>0</v>
      </c>
      <c r="T13" s="120">
        <v>0</v>
      </c>
      <c r="U13" s="120">
        <v>0</v>
      </c>
      <c r="V13" s="120">
        <v>192539</v>
      </c>
      <c r="W13" s="120">
        <v>17542</v>
      </c>
      <c r="X13" s="120">
        <v>78966</v>
      </c>
      <c r="Y13" s="117">
        <f t="shared" si="0"/>
        <v>642461</v>
      </c>
      <c r="Z13" s="120"/>
      <c r="AA13" s="120">
        <v>724037</v>
      </c>
      <c r="AB13" s="120">
        <v>179700</v>
      </c>
      <c r="AC13" s="120">
        <v>345684</v>
      </c>
      <c r="AD13" s="120">
        <v>0</v>
      </c>
      <c r="AE13" s="120">
        <v>42725</v>
      </c>
      <c r="AF13" s="120">
        <v>0</v>
      </c>
      <c r="AG13" s="120">
        <v>0</v>
      </c>
      <c r="AH13" s="120">
        <v>0</v>
      </c>
      <c r="AI13" s="120">
        <v>105985</v>
      </c>
      <c r="AJ13" s="120">
        <v>44891</v>
      </c>
      <c r="AK13" s="120">
        <v>80245</v>
      </c>
      <c r="AL13" s="117">
        <f t="shared" si="1"/>
        <v>529462</v>
      </c>
      <c r="AM13" s="120"/>
      <c r="AN13" s="120">
        <v>695265</v>
      </c>
      <c r="AO13" s="120">
        <v>166041</v>
      </c>
      <c r="AP13" s="120">
        <v>322299</v>
      </c>
      <c r="AQ13" s="120">
        <v>0</v>
      </c>
      <c r="AR13" s="120">
        <v>33451</v>
      </c>
      <c r="AS13" s="120">
        <v>0</v>
      </c>
      <c r="AT13" s="120">
        <v>0</v>
      </c>
      <c r="AU13" s="120">
        <v>0</v>
      </c>
      <c r="AV13" s="120">
        <v>87203</v>
      </c>
      <c r="AW13" s="120">
        <v>45765</v>
      </c>
      <c r="AX13" s="120">
        <v>75677</v>
      </c>
      <c r="AY13" s="117">
        <f t="shared" si="2"/>
        <v>466424</v>
      </c>
      <c r="AZ13" s="120"/>
      <c r="BA13" s="120">
        <v>729950</v>
      </c>
      <c r="BB13" s="120">
        <v>38298</v>
      </c>
      <c r="BC13" s="120">
        <v>76796</v>
      </c>
      <c r="BD13" s="120">
        <v>0</v>
      </c>
      <c r="BE13" s="120">
        <v>20045</v>
      </c>
      <c r="BF13" s="120">
        <v>0</v>
      </c>
      <c r="BG13" s="120">
        <v>0</v>
      </c>
      <c r="BH13" s="120">
        <v>0</v>
      </c>
      <c r="BI13" s="120">
        <v>23177</v>
      </c>
      <c r="BJ13" s="120">
        <v>11067</v>
      </c>
      <c r="BK13" s="120">
        <v>81353</v>
      </c>
      <c r="BL13" s="117">
        <f t="shared" si="3"/>
        <v>221491</v>
      </c>
      <c r="BM13" s="120"/>
      <c r="BN13" s="120">
        <v>550597</v>
      </c>
      <c r="BO13" s="120">
        <v>43865</v>
      </c>
      <c r="BP13" s="120">
        <v>72481</v>
      </c>
      <c r="BQ13" s="120">
        <v>0</v>
      </c>
      <c r="BR13" s="120">
        <v>16591</v>
      </c>
      <c r="BS13" s="120">
        <v>0</v>
      </c>
      <c r="BT13" s="120">
        <v>0</v>
      </c>
      <c r="BU13" s="120">
        <v>0</v>
      </c>
      <c r="BV13" s="120">
        <v>19387</v>
      </c>
      <c r="BW13" s="120">
        <v>7570</v>
      </c>
      <c r="BX13" s="120">
        <v>71445</v>
      </c>
      <c r="BY13" s="117">
        <f t="shared" si="4"/>
        <v>190428</v>
      </c>
      <c r="BZ13" s="120"/>
      <c r="CA13" s="120">
        <v>390695</v>
      </c>
      <c r="CB13" s="120">
        <v>37889</v>
      </c>
      <c r="CC13" s="120">
        <v>66963</v>
      </c>
      <c r="CD13" s="120">
        <v>0</v>
      </c>
      <c r="CE13" s="120">
        <v>13946</v>
      </c>
      <c r="CF13" s="120">
        <v>0</v>
      </c>
      <c r="CG13" s="120">
        <v>0</v>
      </c>
      <c r="CH13" s="120">
        <v>0</v>
      </c>
      <c r="CI13" s="120">
        <v>22185</v>
      </c>
      <c r="CJ13" s="120">
        <v>6907</v>
      </c>
      <c r="CK13" s="120">
        <v>64583</v>
      </c>
      <c r="CL13" s="117">
        <f t="shared" si="5"/>
        <v>174520</v>
      </c>
      <c r="CM13" s="120"/>
      <c r="CN13" s="120">
        <v>0</v>
      </c>
      <c r="CO13" s="120">
        <v>0</v>
      </c>
      <c r="CP13" s="120">
        <v>0</v>
      </c>
      <c r="CQ13" s="120">
        <v>0</v>
      </c>
      <c r="CR13" s="120">
        <v>0</v>
      </c>
      <c r="CS13" s="120">
        <v>0</v>
      </c>
      <c r="CT13" s="120">
        <v>0</v>
      </c>
      <c r="CU13" s="120">
        <v>0</v>
      </c>
      <c r="CV13" s="120">
        <v>0</v>
      </c>
      <c r="CW13" s="120">
        <v>0</v>
      </c>
      <c r="CX13" s="120">
        <v>0</v>
      </c>
      <c r="CY13" s="117">
        <f t="shared" si="6"/>
        <v>0</v>
      </c>
      <c r="CZ13" s="120"/>
      <c r="DA13" s="120">
        <v>0</v>
      </c>
      <c r="DB13" s="120">
        <v>0</v>
      </c>
      <c r="DC13" s="120">
        <v>0</v>
      </c>
      <c r="DD13" s="120">
        <v>0</v>
      </c>
      <c r="DE13" s="120">
        <v>0</v>
      </c>
      <c r="DF13" s="120">
        <v>0</v>
      </c>
      <c r="DG13" s="120">
        <v>0</v>
      </c>
      <c r="DH13" s="120">
        <v>0</v>
      </c>
      <c r="DI13" s="120">
        <v>0</v>
      </c>
      <c r="DJ13" s="120">
        <v>0</v>
      </c>
      <c r="DK13" s="120">
        <v>0</v>
      </c>
      <c r="DL13" s="117">
        <f t="shared" si="7"/>
        <v>0</v>
      </c>
      <c r="DM13" s="120"/>
      <c r="DN13" s="120">
        <v>0</v>
      </c>
      <c r="DO13" s="120">
        <v>0</v>
      </c>
      <c r="DP13" s="120">
        <v>0</v>
      </c>
      <c r="DQ13" s="120">
        <v>0</v>
      </c>
      <c r="DR13" s="120">
        <v>0</v>
      </c>
      <c r="DS13" s="120">
        <v>0</v>
      </c>
      <c r="DT13" s="120">
        <v>0</v>
      </c>
      <c r="DU13" s="120">
        <v>0</v>
      </c>
      <c r="DV13" s="120">
        <v>0</v>
      </c>
      <c r="DW13" s="120">
        <v>0</v>
      </c>
      <c r="DX13" s="120">
        <v>0</v>
      </c>
      <c r="DY13" s="117">
        <f t="shared" si="8"/>
        <v>0</v>
      </c>
      <c r="DZ13" s="116"/>
      <c r="EA13" s="121">
        <f t="shared" si="9"/>
        <v>863952</v>
      </c>
      <c r="EB13" s="121">
        <f t="shared" si="9"/>
        <v>719890</v>
      </c>
      <c r="EC13" s="121">
        <f t="shared" si="9"/>
        <v>640944</v>
      </c>
      <c r="ED13" s="116"/>
      <c r="EE13" s="121" t="str">
        <f t="shared" si="10"/>
        <v/>
      </c>
      <c r="EF13" s="118" t="str">
        <f t="shared" si="11"/>
        <v/>
      </c>
      <c r="EG13" s="118" t="str">
        <f t="shared" si="12"/>
        <v/>
      </c>
      <c r="EH13" s="116"/>
      <c r="EI13" s="120">
        <v>12376365</v>
      </c>
      <c r="EJ13" s="120">
        <v>9620479</v>
      </c>
      <c r="EK13" s="120">
        <v>2770034</v>
      </c>
      <c r="EL13" s="120">
        <v>-14149</v>
      </c>
      <c r="EM13" s="120">
        <v>0</v>
      </c>
      <c r="EN13" s="117">
        <f t="shared" si="13"/>
        <v>12376364</v>
      </c>
      <c r="EO13" s="120">
        <v>11301030</v>
      </c>
      <c r="EP13" s="120">
        <v>8775770</v>
      </c>
      <c r="EQ13" s="120">
        <v>2540016</v>
      </c>
      <c r="ER13" s="120">
        <v>-14756</v>
      </c>
      <c r="ES13" s="120">
        <v>0</v>
      </c>
      <c r="ET13" s="117">
        <f t="shared" si="14"/>
        <v>11301030</v>
      </c>
      <c r="EU13" s="120">
        <v>10345602</v>
      </c>
      <c r="EV13" s="120">
        <v>8010907</v>
      </c>
      <c r="EW13" s="120">
        <v>2334695</v>
      </c>
      <c r="EX13" s="120">
        <v>0</v>
      </c>
      <c r="EY13" s="120">
        <v>0</v>
      </c>
      <c r="EZ13" s="117">
        <f t="shared" si="15"/>
        <v>10345602</v>
      </c>
    </row>
    <row r="14" spans="1:156" x14ac:dyDescent="0.4">
      <c r="A14" s="116" t="s">
        <v>319</v>
      </c>
      <c r="B14" s="119">
        <v>4057102</v>
      </c>
      <c r="C14" s="116" t="s">
        <v>21</v>
      </c>
      <c r="D14" s="120">
        <v>3829923</v>
      </c>
      <c r="E14" s="120">
        <v>197542</v>
      </c>
      <c r="F14" s="120">
        <v>0</v>
      </c>
      <c r="G14" s="120">
        <v>3232296</v>
      </c>
      <c r="H14" s="120">
        <v>141070</v>
      </c>
      <c r="I14" s="120">
        <v>0</v>
      </c>
      <c r="J14" s="120">
        <v>2972989</v>
      </c>
      <c r="K14" s="120">
        <v>124586</v>
      </c>
      <c r="L14" s="120">
        <v>0</v>
      </c>
      <c r="M14" s="120"/>
      <c r="N14" s="120">
        <v>1795722</v>
      </c>
      <c r="O14" s="120">
        <v>258554</v>
      </c>
      <c r="P14" s="120">
        <v>691490</v>
      </c>
      <c r="Q14" s="120">
        <v>0</v>
      </c>
      <c r="R14" s="120">
        <v>78623</v>
      </c>
      <c r="S14" s="120">
        <v>0</v>
      </c>
      <c r="T14" s="120">
        <v>93</v>
      </c>
      <c r="U14" s="120">
        <v>0</v>
      </c>
      <c r="V14" s="120">
        <v>48134</v>
      </c>
      <c r="W14" s="120">
        <v>105145</v>
      </c>
      <c r="X14" s="120">
        <v>344164</v>
      </c>
      <c r="Y14" s="117">
        <f t="shared" si="0"/>
        <v>718288</v>
      </c>
      <c r="Z14" s="120"/>
      <c r="AA14" s="120">
        <v>1391170</v>
      </c>
      <c r="AB14" s="120">
        <v>273998</v>
      </c>
      <c r="AC14" s="120">
        <v>566629</v>
      </c>
      <c r="AD14" s="120">
        <v>0</v>
      </c>
      <c r="AE14" s="120">
        <v>45651</v>
      </c>
      <c r="AF14" s="120">
        <v>0</v>
      </c>
      <c r="AG14" s="120">
        <v>93</v>
      </c>
      <c r="AH14" s="120">
        <v>0</v>
      </c>
      <c r="AI14" s="120">
        <v>45226</v>
      </c>
      <c r="AJ14" s="120">
        <v>15721</v>
      </c>
      <c r="AK14" s="120">
        <v>333226</v>
      </c>
      <c r="AL14" s="117">
        <f t="shared" si="1"/>
        <v>592024</v>
      </c>
      <c r="AM14" s="120"/>
      <c r="AN14" s="120">
        <v>1234588</v>
      </c>
      <c r="AO14" s="120">
        <v>222886</v>
      </c>
      <c r="AP14" s="120">
        <v>544282</v>
      </c>
      <c r="AQ14" s="120">
        <v>0</v>
      </c>
      <c r="AR14" s="120">
        <v>38645</v>
      </c>
      <c r="AS14" s="120">
        <v>0</v>
      </c>
      <c r="AT14" s="120">
        <v>93</v>
      </c>
      <c r="AU14" s="120">
        <v>0</v>
      </c>
      <c r="AV14" s="120">
        <v>16372</v>
      </c>
      <c r="AW14" s="120">
        <v>1248</v>
      </c>
      <c r="AX14" s="120">
        <v>312626</v>
      </c>
      <c r="AY14" s="117">
        <f t="shared" si="2"/>
        <v>604745</v>
      </c>
      <c r="AZ14" s="120"/>
      <c r="BA14" s="120">
        <v>138079</v>
      </c>
      <c r="BB14" s="120">
        <v>5254</v>
      </c>
      <c r="BC14" s="120">
        <v>12554</v>
      </c>
      <c r="BD14" s="120">
        <v>0</v>
      </c>
      <c r="BE14" s="120">
        <v>1122</v>
      </c>
      <c r="BF14" s="120">
        <v>0</v>
      </c>
      <c r="BG14" s="120">
        <v>0</v>
      </c>
      <c r="BH14" s="120">
        <v>0</v>
      </c>
      <c r="BI14" s="120">
        <v>39</v>
      </c>
      <c r="BJ14" s="120">
        <v>267</v>
      </c>
      <c r="BK14" s="120">
        <v>19011</v>
      </c>
      <c r="BL14" s="117">
        <f t="shared" si="3"/>
        <v>21750</v>
      </c>
      <c r="BM14" s="120"/>
      <c r="BN14" s="120">
        <v>90662</v>
      </c>
      <c r="BO14" s="120">
        <v>5375</v>
      </c>
      <c r="BP14" s="120">
        <v>13500</v>
      </c>
      <c r="BQ14" s="120">
        <v>0</v>
      </c>
      <c r="BR14" s="120">
        <v>971</v>
      </c>
      <c r="BS14" s="120">
        <v>0</v>
      </c>
      <c r="BT14" s="120">
        <v>0</v>
      </c>
      <c r="BU14" s="120">
        <v>0</v>
      </c>
      <c r="BV14" s="120">
        <v>121</v>
      </c>
      <c r="BW14" s="120">
        <v>215</v>
      </c>
      <c r="BX14" s="120">
        <v>9830</v>
      </c>
      <c r="BY14" s="117">
        <f t="shared" si="4"/>
        <v>20826</v>
      </c>
      <c r="BZ14" s="120"/>
      <c r="CA14" s="120">
        <v>72855</v>
      </c>
      <c r="CB14" s="120">
        <v>5041</v>
      </c>
      <c r="CC14" s="120">
        <v>12448</v>
      </c>
      <c r="CD14" s="120">
        <v>0</v>
      </c>
      <c r="CE14" s="120">
        <v>917</v>
      </c>
      <c r="CF14" s="120">
        <v>0</v>
      </c>
      <c r="CG14" s="120">
        <v>0</v>
      </c>
      <c r="CH14" s="120">
        <v>0</v>
      </c>
      <c r="CI14" s="120">
        <v>6</v>
      </c>
      <c r="CJ14" s="120">
        <v>188</v>
      </c>
      <c r="CK14" s="120">
        <v>15029</v>
      </c>
      <c r="CL14" s="117">
        <f t="shared" si="5"/>
        <v>18478</v>
      </c>
      <c r="CM14" s="120"/>
      <c r="CN14" s="120">
        <v>0</v>
      </c>
      <c r="CO14" s="120">
        <v>0</v>
      </c>
      <c r="CP14" s="120">
        <v>0</v>
      </c>
      <c r="CQ14" s="120">
        <v>0</v>
      </c>
      <c r="CR14" s="120">
        <v>0</v>
      </c>
      <c r="CS14" s="120">
        <v>0</v>
      </c>
      <c r="CT14" s="120">
        <v>0</v>
      </c>
      <c r="CU14" s="120">
        <v>0</v>
      </c>
      <c r="CV14" s="120">
        <v>0</v>
      </c>
      <c r="CW14" s="120">
        <v>0</v>
      </c>
      <c r="CX14" s="120">
        <v>0</v>
      </c>
      <c r="CY14" s="117">
        <f t="shared" si="6"/>
        <v>0</v>
      </c>
      <c r="CZ14" s="120"/>
      <c r="DA14" s="120">
        <v>0</v>
      </c>
      <c r="DB14" s="120">
        <v>0</v>
      </c>
      <c r="DC14" s="120">
        <v>0</v>
      </c>
      <c r="DD14" s="120">
        <v>0</v>
      </c>
      <c r="DE14" s="120">
        <v>0</v>
      </c>
      <c r="DF14" s="120">
        <v>0</v>
      </c>
      <c r="DG14" s="120">
        <v>0</v>
      </c>
      <c r="DH14" s="120">
        <v>0</v>
      </c>
      <c r="DI14" s="120">
        <v>0</v>
      </c>
      <c r="DJ14" s="120">
        <v>0</v>
      </c>
      <c r="DK14" s="120">
        <v>0</v>
      </c>
      <c r="DL14" s="117">
        <f t="shared" si="7"/>
        <v>0</v>
      </c>
      <c r="DM14" s="120"/>
      <c r="DN14" s="120">
        <v>0</v>
      </c>
      <c r="DO14" s="120">
        <v>0</v>
      </c>
      <c r="DP14" s="120">
        <v>0</v>
      </c>
      <c r="DQ14" s="120">
        <v>0</v>
      </c>
      <c r="DR14" s="120">
        <v>0</v>
      </c>
      <c r="DS14" s="120">
        <v>0</v>
      </c>
      <c r="DT14" s="120">
        <v>0</v>
      </c>
      <c r="DU14" s="120">
        <v>0</v>
      </c>
      <c r="DV14" s="120">
        <v>0</v>
      </c>
      <c r="DW14" s="120">
        <v>0</v>
      </c>
      <c r="DX14" s="120">
        <v>0</v>
      </c>
      <c r="DY14" s="117">
        <f t="shared" si="8"/>
        <v>0</v>
      </c>
      <c r="DZ14" s="116"/>
      <c r="EA14" s="121">
        <f t="shared" si="9"/>
        <v>740038</v>
      </c>
      <c r="EB14" s="121">
        <f t="shared" si="9"/>
        <v>612850</v>
      </c>
      <c r="EC14" s="121">
        <f t="shared" si="9"/>
        <v>623223</v>
      </c>
      <c r="ED14" s="116"/>
      <c r="EE14" s="121" t="str">
        <f t="shared" si="10"/>
        <v/>
      </c>
      <c r="EF14" s="118" t="str">
        <f t="shared" si="11"/>
        <v/>
      </c>
      <c r="EG14" s="118" t="str">
        <f t="shared" si="12"/>
        <v/>
      </c>
      <c r="EH14" s="116"/>
      <c r="EI14" s="120">
        <v>14923135</v>
      </c>
      <c r="EJ14" s="120">
        <v>14501986</v>
      </c>
      <c r="EK14" s="120">
        <v>421149</v>
      </c>
      <c r="EL14" s="120">
        <v>0</v>
      </c>
      <c r="EM14" s="120">
        <v>0</v>
      </c>
      <c r="EN14" s="117">
        <f t="shared" si="13"/>
        <v>14923135</v>
      </c>
      <c r="EO14" s="120">
        <v>14090087</v>
      </c>
      <c r="EP14" s="120">
        <v>13699874</v>
      </c>
      <c r="EQ14" s="120">
        <v>390213</v>
      </c>
      <c r="ER14" s="120">
        <v>0</v>
      </c>
      <c r="ES14" s="120">
        <v>0</v>
      </c>
      <c r="ET14" s="117">
        <f t="shared" si="14"/>
        <v>14090087</v>
      </c>
      <c r="EU14" s="120">
        <v>12669650</v>
      </c>
      <c r="EV14" s="120">
        <v>12312115</v>
      </c>
      <c r="EW14" s="120">
        <v>357535</v>
      </c>
      <c r="EX14" s="120">
        <v>0</v>
      </c>
      <c r="EY14" s="120">
        <v>0</v>
      </c>
      <c r="EZ14" s="117">
        <f t="shared" si="15"/>
        <v>12669650</v>
      </c>
    </row>
    <row r="15" spans="1:156" x14ac:dyDescent="0.4">
      <c r="A15" s="116" t="s">
        <v>320</v>
      </c>
      <c r="B15" s="119">
        <v>4057110</v>
      </c>
      <c r="C15" s="122" t="s">
        <v>26</v>
      </c>
      <c r="D15" s="120">
        <v>0</v>
      </c>
      <c r="E15" s="120">
        <v>97586</v>
      </c>
      <c r="F15" s="120">
        <v>0</v>
      </c>
      <c r="G15" s="120">
        <v>0</v>
      </c>
      <c r="H15" s="120">
        <v>82370</v>
      </c>
      <c r="I15" s="120">
        <v>0</v>
      </c>
      <c r="J15" s="120">
        <v>0</v>
      </c>
      <c r="K15" s="120">
        <v>75722</v>
      </c>
      <c r="L15" s="120">
        <v>0</v>
      </c>
      <c r="M15" s="120"/>
      <c r="N15" s="120" t="s">
        <v>316</v>
      </c>
      <c r="O15" s="120" t="s">
        <v>316</v>
      </c>
      <c r="P15" s="120" t="s">
        <v>316</v>
      </c>
      <c r="Q15" s="120" t="s">
        <v>316</v>
      </c>
      <c r="R15" s="120" t="s">
        <v>316</v>
      </c>
      <c r="S15" s="120" t="s">
        <v>316</v>
      </c>
      <c r="T15" s="120" t="s">
        <v>316</v>
      </c>
      <c r="U15" s="120" t="s">
        <v>316</v>
      </c>
      <c r="V15" s="120" t="s">
        <v>316</v>
      </c>
      <c r="W15" s="120" t="s">
        <v>316</v>
      </c>
      <c r="X15" s="120" t="s">
        <v>316</v>
      </c>
      <c r="Y15" s="117">
        <f t="shared" si="0"/>
        <v>0</v>
      </c>
      <c r="Z15" s="120"/>
      <c r="AA15" s="120" t="s">
        <v>316</v>
      </c>
      <c r="AB15" s="120" t="s">
        <v>316</v>
      </c>
      <c r="AC15" s="120" t="s">
        <v>316</v>
      </c>
      <c r="AD15" s="120" t="s">
        <v>316</v>
      </c>
      <c r="AE15" s="120" t="s">
        <v>316</v>
      </c>
      <c r="AF15" s="120" t="s">
        <v>316</v>
      </c>
      <c r="AG15" s="120" t="s">
        <v>316</v>
      </c>
      <c r="AH15" s="120" t="s">
        <v>316</v>
      </c>
      <c r="AI15" s="120" t="s">
        <v>316</v>
      </c>
      <c r="AJ15" s="120" t="s">
        <v>316</v>
      </c>
      <c r="AK15" s="120" t="s">
        <v>316</v>
      </c>
      <c r="AL15" s="117">
        <f t="shared" si="1"/>
        <v>0</v>
      </c>
      <c r="AM15" s="120"/>
      <c r="AN15" s="120" t="s">
        <v>316</v>
      </c>
      <c r="AO15" s="120" t="s">
        <v>316</v>
      </c>
      <c r="AP15" s="120" t="s">
        <v>316</v>
      </c>
      <c r="AQ15" s="120" t="s">
        <v>316</v>
      </c>
      <c r="AR15" s="120" t="s">
        <v>316</v>
      </c>
      <c r="AS15" s="120" t="s">
        <v>316</v>
      </c>
      <c r="AT15" s="120" t="s">
        <v>316</v>
      </c>
      <c r="AU15" s="120" t="s">
        <v>316</v>
      </c>
      <c r="AV15" s="120" t="s">
        <v>316</v>
      </c>
      <c r="AW15" s="120" t="s">
        <v>316</v>
      </c>
      <c r="AX15" s="120" t="s">
        <v>316</v>
      </c>
      <c r="AY15" s="117">
        <f t="shared" si="2"/>
        <v>0</v>
      </c>
      <c r="AZ15" s="120"/>
      <c r="BA15" s="120">
        <v>71990</v>
      </c>
      <c r="BB15" s="120">
        <v>2799</v>
      </c>
      <c r="BC15" s="120">
        <v>7264</v>
      </c>
      <c r="BD15" s="120" t="s">
        <v>316</v>
      </c>
      <c r="BE15" s="120">
        <v>897</v>
      </c>
      <c r="BF15" s="120">
        <v>0</v>
      </c>
      <c r="BG15" s="120">
        <v>0</v>
      </c>
      <c r="BH15" s="120">
        <v>0</v>
      </c>
      <c r="BI15" s="120">
        <v>0</v>
      </c>
      <c r="BJ15" s="120">
        <v>0</v>
      </c>
      <c r="BK15" s="120">
        <v>6577</v>
      </c>
      <c r="BL15" s="117">
        <f>BY15</f>
        <v>8333</v>
      </c>
      <c r="BM15" s="120"/>
      <c r="BN15" s="120">
        <v>58823</v>
      </c>
      <c r="BO15" s="120">
        <v>2775</v>
      </c>
      <c r="BP15" s="120">
        <v>6295</v>
      </c>
      <c r="BQ15" s="120" t="s">
        <v>316</v>
      </c>
      <c r="BR15" s="120">
        <v>890</v>
      </c>
      <c r="BS15" s="120">
        <v>0</v>
      </c>
      <c r="BT15" s="120">
        <v>0</v>
      </c>
      <c r="BU15" s="120">
        <v>0</v>
      </c>
      <c r="BV15" s="120">
        <v>0</v>
      </c>
      <c r="BW15" s="120">
        <v>0</v>
      </c>
      <c r="BX15" s="120">
        <v>5254</v>
      </c>
      <c r="BY15" s="117">
        <f t="shared" si="4"/>
        <v>8333</v>
      </c>
      <c r="BZ15" s="120"/>
      <c r="CA15" s="120">
        <v>52134</v>
      </c>
      <c r="CB15" s="120">
        <v>3138</v>
      </c>
      <c r="CC15" s="120">
        <v>7901</v>
      </c>
      <c r="CD15" s="120" t="s">
        <v>316</v>
      </c>
      <c r="CE15" s="120">
        <v>0</v>
      </c>
      <c r="CF15" s="120">
        <v>0</v>
      </c>
      <c r="CG15" s="120">
        <v>0</v>
      </c>
      <c r="CH15" s="120">
        <v>0</v>
      </c>
      <c r="CI15" s="120">
        <v>0</v>
      </c>
      <c r="CJ15" s="120">
        <v>0</v>
      </c>
      <c r="CK15" s="120">
        <v>5049</v>
      </c>
      <c r="CL15" s="117">
        <f t="shared" si="5"/>
        <v>7500</v>
      </c>
      <c r="CM15" s="120"/>
      <c r="CN15" s="120" t="s">
        <v>316</v>
      </c>
      <c r="CO15" s="120" t="s">
        <v>316</v>
      </c>
      <c r="CP15" s="120" t="s">
        <v>316</v>
      </c>
      <c r="CQ15" s="120" t="s">
        <v>316</v>
      </c>
      <c r="CR15" s="120" t="s">
        <v>316</v>
      </c>
      <c r="CS15" s="120" t="s">
        <v>316</v>
      </c>
      <c r="CT15" s="120" t="s">
        <v>316</v>
      </c>
      <c r="CU15" s="120" t="s">
        <v>316</v>
      </c>
      <c r="CV15" s="120" t="s">
        <v>316</v>
      </c>
      <c r="CW15" s="120" t="s">
        <v>316</v>
      </c>
      <c r="CX15" s="120" t="s">
        <v>316</v>
      </c>
      <c r="CY15" s="117">
        <f t="shared" si="6"/>
        <v>0</v>
      </c>
      <c r="CZ15" s="120"/>
      <c r="DA15" s="120" t="s">
        <v>316</v>
      </c>
      <c r="DB15" s="120" t="s">
        <v>316</v>
      </c>
      <c r="DC15" s="120" t="s">
        <v>316</v>
      </c>
      <c r="DD15" s="120" t="s">
        <v>316</v>
      </c>
      <c r="DE15" s="120" t="s">
        <v>316</v>
      </c>
      <c r="DF15" s="120" t="s">
        <v>316</v>
      </c>
      <c r="DG15" s="120" t="s">
        <v>316</v>
      </c>
      <c r="DH15" s="120" t="s">
        <v>316</v>
      </c>
      <c r="DI15" s="120" t="s">
        <v>316</v>
      </c>
      <c r="DJ15" s="120" t="s">
        <v>316</v>
      </c>
      <c r="DK15" s="120" t="s">
        <v>316</v>
      </c>
      <c r="DL15" s="117">
        <f t="shared" si="7"/>
        <v>0</v>
      </c>
      <c r="DM15" s="120"/>
      <c r="DN15" s="120" t="s">
        <v>316</v>
      </c>
      <c r="DO15" s="120" t="s">
        <v>316</v>
      </c>
      <c r="DP15" s="120" t="s">
        <v>316</v>
      </c>
      <c r="DQ15" s="120" t="s">
        <v>316</v>
      </c>
      <c r="DR15" s="120" t="s">
        <v>316</v>
      </c>
      <c r="DS15" s="120" t="s">
        <v>316</v>
      </c>
      <c r="DT15" s="120" t="s">
        <v>316</v>
      </c>
      <c r="DU15" s="120" t="s">
        <v>316</v>
      </c>
      <c r="DV15" s="120" t="s">
        <v>316</v>
      </c>
      <c r="DW15" s="120" t="s">
        <v>316</v>
      </c>
      <c r="DX15" s="120" t="s">
        <v>316</v>
      </c>
      <c r="DY15" s="117">
        <f t="shared" si="8"/>
        <v>0</v>
      </c>
      <c r="DZ15" s="116"/>
      <c r="EA15" s="121">
        <f t="shared" si="9"/>
        <v>8333</v>
      </c>
      <c r="EB15" s="121">
        <f t="shared" si="9"/>
        <v>8333</v>
      </c>
      <c r="EC15" s="121">
        <f t="shared" si="9"/>
        <v>7500</v>
      </c>
      <c r="ED15" s="116"/>
      <c r="EE15" s="121" t="str">
        <f t="shared" si="10"/>
        <v>ERROR</v>
      </c>
      <c r="EF15" s="118" t="str">
        <f t="shared" si="11"/>
        <v/>
      </c>
      <c r="EG15" s="118" t="str">
        <f t="shared" si="12"/>
        <v/>
      </c>
      <c r="EH15" s="116"/>
      <c r="EI15" s="120" t="s">
        <v>316</v>
      </c>
      <c r="EJ15" s="120" t="s">
        <v>316</v>
      </c>
      <c r="EK15" s="120" t="s">
        <v>316</v>
      </c>
      <c r="EL15" s="120" t="s">
        <v>316</v>
      </c>
      <c r="EM15" s="120" t="s">
        <v>316</v>
      </c>
      <c r="EN15" s="117">
        <f t="shared" si="13"/>
        <v>0</v>
      </c>
      <c r="EO15" s="120" t="s">
        <v>316</v>
      </c>
      <c r="EP15" s="120" t="s">
        <v>316</v>
      </c>
      <c r="EQ15" s="120" t="s">
        <v>316</v>
      </c>
      <c r="ER15" s="120" t="s">
        <v>316</v>
      </c>
      <c r="ES15" s="120" t="s">
        <v>316</v>
      </c>
      <c r="ET15" s="117">
        <f t="shared" si="14"/>
        <v>0</v>
      </c>
      <c r="EU15" s="120" t="s">
        <v>316</v>
      </c>
      <c r="EV15" s="120" t="s">
        <v>316</v>
      </c>
      <c r="EW15" s="120" t="s">
        <v>316</v>
      </c>
      <c r="EX15" s="120" t="s">
        <v>316</v>
      </c>
      <c r="EY15" s="120" t="s">
        <v>316</v>
      </c>
      <c r="EZ15" s="117">
        <f t="shared" si="15"/>
        <v>0</v>
      </c>
    </row>
    <row r="16" spans="1:156" x14ac:dyDescent="0.4">
      <c r="A16" s="116" t="s">
        <v>321</v>
      </c>
      <c r="B16" s="119">
        <v>4056978</v>
      </c>
      <c r="C16" s="122" t="s">
        <v>26</v>
      </c>
      <c r="D16" s="120">
        <v>1005111</v>
      </c>
      <c r="E16" s="120">
        <v>0</v>
      </c>
      <c r="F16" s="120">
        <v>0</v>
      </c>
      <c r="G16" s="120">
        <v>949961</v>
      </c>
      <c r="H16" s="120">
        <v>0</v>
      </c>
      <c r="I16" s="120">
        <v>0</v>
      </c>
      <c r="J16" s="120">
        <v>871348</v>
      </c>
      <c r="K16" s="120">
        <v>0</v>
      </c>
      <c r="L16" s="120">
        <v>0</v>
      </c>
      <c r="M16" s="120"/>
      <c r="N16" s="120">
        <v>473924</v>
      </c>
      <c r="O16" s="120">
        <v>139401</v>
      </c>
      <c r="P16" s="120">
        <v>119058</v>
      </c>
      <c r="Q16" s="120">
        <v>0</v>
      </c>
      <c r="R16" s="120">
        <v>9559</v>
      </c>
      <c r="S16" s="120">
        <v>0</v>
      </c>
      <c r="T16" s="120">
        <v>0</v>
      </c>
      <c r="U16" s="120">
        <v>0</v>
      </c>
      <c r="V16" s="120">
        <v>0</v>
      </c>
      <c r="W16" s="120">
        <v>0</v>
      </c>
      <c r="X16" s="120">
        <v>66905</v>
      </c>
      <c r="Y16" s="117">
        <f t="shared" si="0"/>
        <v>196264</v>
      </c>
      <c r="Z16" s="120"/>
      <c r="AA16" s="120">
        <v>430248</v>
      </c>
      <c r="AB16" s="120">
        <v>101003</v>
      </c>
      <c r="AC16" s="120">
        <v>113400</v>
      </c>
      <c r="AD16" s="120">
        <v>0</v>
      </c>
      <c r="AE16" s="120">
        <v>9549</v>
      </c>
      <c r="AF16" s="120">
        <v>0</v>
      </c>
      <c r="AG16" s="120">
        <v>0</v>
      </c>
      <c r="AH16" s="120">
        <v>0</v>
      </c>
      <c r="AI16" s="120">
        <v>0</v>
      </c>
      <c r="AJ16" s="120">
        <v>0</v>
      </c>
      <c r="AK16" s="120">
        <v>66187</v>
      </c>
      <c r="AL16" s="117">
        <f t="shared" si="1"/>
        <v>229574</v>
      </c>
      <c r="AM16" s="120"/>
      <c r="AN16" s="120">
        <v>398060</v>
      </c>
      <c r="AO16" s="120">
        <v>85371</v>
      </c>
      <c r="AP16" s="120">
        <v>106497</v>
      </c>
      <c r="AQ16" s="120">
        <v>0</v>
      </c>
      <c r="AR16" s="120">
        <v>9816</v>
      </c>
      <c r="AS16" s="120">
        <v>0</v>
      </c>
      <c r="AT16" s="120">
        <v>0</v>
      </c>
      <c r="AU16" s="120">
        <v>0</v>
      </c>
      <c r="AV16" s="120">
        <v>0</v>
      </c>
      <c r="AW16" s="120">
        <v>0</v>
      </c>
      <c r="AX16" s="120">
        <v>64062</v>
      </c>
      <c r="AY16" s="117">
        <f t="shared" si="2"/>
        <v>207542</v>
      </c>
      <c r="AZ16" s="120"/>
      <c r="BA16" s="120">
        <v>0</v>
      </c>
      <c r="BB16" s="120">
        <v>0</v>
      </c>
      <c r="BC16" s="120">
        <v>0</v>
      </c>
      <c r="BD16" s="120">
        <v>0</v>
      </c>
      <c r="BE16" s="120">
        <v>0</v>
      </c>
      <c r="BF16" s="120">
        <v>0</v>
      </c>
      <c r="BG16" s="120">
        <v>0</v>
      </c>
      <c r="BH16" s="120">
        <v>0</v>
      </c>
      <c r="BI16" s="120">
        <v>0</v>
      </c>
      <c r="BJ16" s="120">
        <v>0</v>
      </c>
      <c r="BK16" s="120">
        <v>0</v>
      </c>
      <c r="BL16" s="117">
        <f t="shared" si="3"/>
        <v>0</v>
      </c>
      <c r="BM16" s="120"/>
      <c r="BN16" s="120">
        <v>0</v>
      </c>
      <c r="BO16" s="120">
        <v>0</v>
      </c>
      <c r="BP16" s="120">
        <v>0</v>
      </c>
      <c r="BQ16" s="120">
        <v>0</v>
      </c>
      <c r="BR16" s="120">
        <v>0</v>
      </c>
      <c r="BS16" s="120">
        <v>0</v>
      </c>
      <c r="BT16" s="120">
        <v>0</v>
      </c>
      <c r="BU16" s="120">
        <v>0</v>
      </c>
      <c r="BV16" s="120">
        <v>0</v>
      </c>
      <c r="BW16" s="120">
        <v>0</v>
      </c>
      <c r="BX16" s="120">
        <v>0</v>
      </c>
      <c r="BY16" s="117">
        <f t="shared" si="4"/>
        <v>0</v>
      </c>
      <c r="BZ16" s="120"/>
      <c r="CA16" s="120">
        <v>0</v>
      </c>
      <c r="CB16" s="120">
        <v>0</v>
      </c>
      <c r="CC16" s="120">
        <v>0</v>
      </c>
      <c r="CD16" s="120">
        <v>0</v>
      </c>
      <c r="CE16" s="120">
        <v>0</v>
      </c>
      <c r="CF16" s="120">
        <v>0</v>
      </c>
      <c r="CG16" s="120">
        <v>0</v>
      </c>
      <c r="CH16" s="120">
        <v>0</v>
      </c>
      <c r="CI16" s="120">
        <v>0</v>
      </c>
      <c r="CJ16" s="120">
        <v>0</v>
      </c>
      <c r="CK16" s="120">
        <v>0</v>
      </c>
      <c r="CL16" s="117">
        <f t="shared" si="5"/>
        <v>0</v>
      </c>
      <c r="CM16" s="120"/>
      <c r="CN16" s="120">
        <v>0</v>
      </c>
      <c r="CO16" s="120">
        <v>0</v>
      </c>
      <c r="CP16" s="120">
        <v>0</v>
      </c>
      <c r="CQ16" s="120">
        <v>0</v>
      </c>
      <c r="CR16" s="120">
        <v>0</v>
      </c>
      <c r="CS16" s="120">
        <v>0</v>
      </c>
      <c r="CT16" s="120">
        <v>0</v>
      </c>
      <c r="CU16" s="120">
        <v>0</v>
      </c>
      <c r="CV16" s="120">
        <v>0</v>
      </c>
      <c r="CW16" s="120">
        <v>0</v>
      </c>
      <c r="CX16" s="120">
        <v>0</v>
      </c>
      <c r="CY16" s="117">
        <f t="shared" si="6"/>
        <v>0</v>
      </c>
      <c r="CZ16" s="120"/>
      <c r="DA16" s="120">
        <v>0</v>
      </c>
      <c r="DB16" s="120">
        <v>0</v>
      </c>
      <c r="DC16" s="120">
        <v>0</v>
      </c>
      <c r="DD16" s="120">
        <v>0</v>
      </c>
      <c r="DE16" s="120">
        <v>0</v>
      </c>
      <c r="DF16" s="120">
        <v>0</v>
      </c>
      <c r="DG16" s="120">
        <v>0</v>
      </c>
      <c r="DH16" s="120">
        <v>0</v>
      </c>
      <c r="DI16" s="120">
        <v>0</v>
      </c>
      <c r="DJ16" s="120">
        <v>0</v>
      </c>
      <c r="DK16" s="120">
        <v>0</v>
      </c>
      <c r="DL16" s="117">
        <f t="shared" si="7"/>
        <v>0</v>
      </c>
      <c r="DM16" s="120"/>
      <c r="DN16" s="120">
        <v>0</v>
      </c>
      <c r="DO16" s="120">
        <v>0</v>
      </c>
      <c r="DP16" s="120">
        <v>0</v>
      </c>
      <c r="DQ16" s="120">
        <v>0</v>
      </c>
      <c r="DR16" s="120">
        <v>0</v>
      </c>
      <c r="DS16" s="120">
        <v>0</v>
      </c>
      <c r="DT16" s="120">
        <v>0</v>
      </c>
      <c r="DU16" s="120">
        <v>0</v>
      </c>
      <c r="DV16" s="120">
        <v>0</v>
      </c>
      <c r="DW16" s="120">
        <v>0</v>
      </c>
      <c r="DX16" s="120">
        <v>0</v>
      </c>
      <c r="DY16" s="117">
        <f t="shared" si="8"/>
        <v>0</v>
      </c>
      <c r="DZ16" s="116"/>
      <c r="EA16" s="121">
        <f t="shared" si="9"/>
        <v>196264</v>
      </c>
      <c r="EB16" s="121">
        <f t="shared" si="9"/>
        <v>229574</v>
      </c>
      <c r="EC16" s="121">
        <f t="shared" si="9"/>
        <v>207542</v>
      </c>
      <c r="ED16" s="116"/>
      <c r="EE16" s="121" t="str">
        <f t="shared" si="10"/>
        <v/>
      </c>
      <c r="EF16" s="118" t="str">
        <f t="shared" si="11"/>
        <v/>
      </c>
      <c r="EG16" s="118" t="str">
        <f t="shared" si="12"/>
        <v/>
      </c>
      <c r="EH16" s="116"/>
      <c r="EI16" s="120">
        <v>4156472</v>
      </c>
      <c r="EJ16" s="120">
        <v>4156472</v>
      </c>
      <c r="EK16" s="120">
        <v>0</v>
      </c>
      <c r="EL16" s="120">
        <v>0</v>
      </c>
      <c r="EM16" s="120">
        <v>0</v>
      </c>
      <c r="EN16" s="117">
        <f t="shared" si="13"/>
        <v>4156472</v>
      </c>
      <c r="EO16" s="120">
        <v>3998348</v>
      </c>
      <c r="EP16" s="120">
        <v>3998348</v>
      </c>
      <c r="EQ16" s="120">
        <v>0</v>
      </c>
      <c r="ER16" s="120">
        <v>0</v>
      </c>
      <c r="ES16" s="120">
        <v>0</v>
      </c>
      <c r="ET16" s="117">
        <f t="shared" si="14"/>
        <v>3998348</v>
      </c>
      <c r="EU16" s="120">
        <v>3980289</v>
      </c>
      <c r="EV16" s="120">
        <v>3980289</v>
      </c>
      <c r="EW16" s="120">
        <v>0</v>
      </c>
      <c r="EX16" s="120">
        <v>0</v>
      </c>
      <c r="EY16" s="120">
        <v>0</v>
      </c>
      <c r="EZ16" s="117">
        <f t="shared" si="15"/>
        <v>3980289</v>
      </c>
    </row>
    <row r="17" spans="1:156" x14ac:dyDescent="0.4">
      <c r="A17" s="116" t="s">
        <v>322</v>
      </c>
      <c r="B17" s="119">
        <v>4059402</v>
      </c>
      <c r="C17" s="122" t="s">
        <v>26</v>
      </c>
      <c r="D17" s="120" t="s">
        <v>316</v>
      </c>
      <c r="E17" s="120" t="s">
        <v>316</v>
      </c>
      <c r="F17" s="120" t="s">
        <v>316</v>
      </c>
      <c r="G17" s="120">
        <v>0</v>
      </c>
      <c r="H17" s="120">
        <v>417956</v>
      </c>
      <c r="I17" s="120">
        <v>0</v>
      </c>
      <c r="J17" s="120">
        <v>0</v>
      </c>
      <c r="K17" s="120">
        <v>361408</v>
      </c>
      <c r="L17" s="120">
        <v>0</v>
      </c>
      <c r="M17" s="120"/>
      <c r="N17" s="120" t="s">
        <v>316</v>
      </c>
      <c r="O17" s="120" t="s">
        <v>316</v>
      </c>
      <c r="P17" s="120" t="s">
        <v>316</v>
      </c>
      <c r="Q17" s="120" t="s">
        <v>316</v>
      </c>
      <c r="R17" s="120" t="s">
        <v>316</v>
      </c>
      <c r="S17" s="120" t="s">
        <v>316</v>
      </c>
      <c r="T17" s="120" t="s">
        <v>316</v>
      </c>
      <c r="U17" s="120" t="s">
        <v>316</v>
      </c>
      <c r="V17" s="120" t="s">
        <v>316</v>
      </c>
      <c r="W17" s="120" t="s">
        <v>316</v>
      </c>
      <c r="X17" s="120" t="s">
        <v>316</v>
      </c>
      <c r="Y17" s="117">
        <f t="shared" si="0"/>
        <v>0</v>
      </c>
      <c r="Z17" s="120"/>
      <c r="AA17" s="120" t="s">
        <v>316</v>
      </c>
      <c r="AB17" s="120" t="s">
        <v>316</v>
      </c>
      <c r="AC17" s="120" t="s">
        <v>316</v>
      </c>
      <c r="AD17" s="120" t="s">
        <v>316</v>
      </c>
      <c r="AE17" s="120" t="s">
        <v>316</v>
      </c>
      <c r="AF17" s="120" t="s">
        <v>316</v>
      </c>
      <c r="AG17" s="120" t="s">
        <v>316</v>
      </c>
      <c r="AH17" s="120" t="s">
        <v>316</v>
      </c>
      <c r="AI17" s="120" t="s">
        <v>316</v>
      </c>
      <c r="AJ17" s="120" t="s">
        <v>316</v>
      </c>
      <c r="AK17" s="120" t="s">
        <v>316</v>
      </c>
      <c r="AL17" s="117">
        <f t="shared" si="1"/>
        <v>0</v>
      </c>
      <c r="AM17" s="120"/>
      <c r="AN17" s="120" t="s">
        <v>316</v>
      </c>
      <c r="AO17" s="120" t="s">
        <v>316</v>
      </c>
      <c r="AP17" s="120" t="s">
        <v>316</v>
      </c>
      <c r="AQ17" s="120" t="s">
        <v>316</v>
      </c>
      <c r="AR17" s="120" t="s">
        <v>316</v>
      </c>
      <c r="AS17" s="120" t="s">
        <v>316</v>
      </c>
      <c r="AT17" s="120" t="s">
        <v>316</v>
      </c>
      <c r="AU17" s="120" t="s">
        <v>316</v>
      </c>
      <c r="AV17" s="120" t="s">
        <v>316</v>
      </c>
      <c r="AW17" s="120" t="s">
        <v>316</v>
      </c>
      <c r="AX17" s="120" t="s">
        <v>316</v>
      </c>
      <c r="AY17" s="117">
        <f t="shared" si="2"/>
        <v>0</v>
      </c>
      <c r="AZ17" s="120"/>
      <c r="BA17" s="120" t="s">
        <v>316</v>
      </c>
      <c r="BB17" s="120" t="s">
        <v>316</v>
      </c>
      <c r="BC17" s="120" t="s">
        <v>316</v>
      </c>
      <c r="BD17" s="120" t="s">
        <v>316</v>
      </c>
      <c r="BE17" s="120" t="s">
        <v>316</v>
      </c>
      <c r="BF17" s="120" t="s">
        <v>316</v>
      </c>
      <c r="BG17" s="120" t="s">
        <v>316</v>
      </c>
      <c r="BH17" s="120" t="s">
        <v>316</v>
      </c>
      <c r="BI17" s="120" t="s">
        <v>316</v>
      </c>
      <c r="BJ17" s="120" t="s">
        <v>316</v>
      </c>
      <c r="BK17" s="120" t="s">
        <v>316</v>
      </c>
      <c r="BL17" s="117">
        <f>BY17</f>
        <v>49377</v>
      </c>
      <c r="BM17" s="120"/>
      <c r="BN17" s="120">
        <v>281530</v>
      </c>
      <c r="BO17" s="120">
        <v>14155</v>
      </c>
      <c r="BP17" s="120">
        <v>40055</v>
      </c>
      <c r="BQ17" s="120" t="s">
        <v>316</v>
      </c>
      <c r="BR17" s="120">
        <v>3000</v>
      </c>
      <c r="BS17" s="120">
        <v>0</v>
      </c>
      <c r="BT17" s="120">
        <v>0</v>
      </c>
      <c r="BU17" s="120">
        <v>0</v>
      </c>
      <c r="BV17" s="120">
        <v>0</v>
      </c>
      <c r="BW17" s="120">
        <v>0</v>
      </c>
      <c r="BX17" s="120">
        <v>29839</v>
      </c>
      <c r="BY17" s="117">
        <f t="shared" si="4"/>
        <v>49377</v>
      </c>
      <c r="BZ17" s="120"/>
      <c r="CA17" s="120">
        <v>226351</v>
      </c>
      <c r="CB17" s="120">
        <v>13336</v>
      </c>
      <c r="CC17" s="120">
        <v>39801</v>
      </c>
      <c r="CD17" s="120" t="s">
        <v>316</v>
      </c>
      <c r="CE17" s="120">
        <v>3266</v>
      </c>
      <c r="CF17" s="120">
        <v>0</v>
      </c>
      <c r="CG17" s="120">
        <v>0</v>
      </c>
      <c r="CH17" s="120">
        <v>0</v>
      </c>
      <c r="CI17" s="120">
        <v>0</v>
      </c>
      <c r="CJ17" s="120">
        <v>0</v>
      </c>
      <c r="CK17" s="120">
        <v>31155</v>
      </c>
      <c r="CL17" s="117">
        <f t="shared" si="5"/>
        <v>47499</v>
      </c>
      <c r="CM17" s="120"/>
      <c r="CN17" s="120" t="s">
        <v>316</v>
      </c>
      <c r="CO17" s="120" t="s">
        <v>316</v>
      </c>
      <c r="CP17" s="120" t="s">
        <v>316</v>
      </c>
      <c r="CQ17" s="120" t="s">
        <v>316</v>
      </c>
      <c r="CR17" s="120" t="s">
        <v>316</v>
      </c>
      <c r="CS17" s="120" t="s">
        <v>316</v>
      </c>
      <c r="CT17" s="120" t="s">
        <v>316</v>
      </c>
      <c r="CU17" s="120" t="s">
        <v>316</v>
      </c>
      <c r="CV17" s="120" t="s">
        <v>316</v>
      </c>
      <c r="CW17" s="120" t="s">
        <v>316</v>
      </c>
      <c r="CX17" s="120" t="s">
        <v>316</v>
      </c>
      <c r="CY17" s="117">
        <f t="shared" si="6"/>
        <v>0</v>
      </c>
      <c r="CZ17" s="120"/>
      <c r="DA17" s="120" t="s">
        <v>316</v>
      </c>
      <c r="DB17" s="120" t="s">
        <v>316</v>
      </c>
      <c r="DC17" s="120" t="s">
        <v>316</v>
      </c>
      <c r="DD17" s="120" t="s">
        <v>316</v>
      </c>
      <c r="DE17" s="120" t="s">
        <v>316</v>
      </c>
      <c r="DF17" s="120" t="s">
        <v>316</v>
      </c>
      <c r="DG17" s="120" t="s">
        <v>316</v>
      </c>
      <c r="DH17" s="120" t="s">
        <v>316</v>
      </c>
      <c r="DI17" s="120" t="s">
        <v>316</v>
      </c>
      <c r="DJ17" s="120" t="s">
        <v>316</v>
      </c>
      <c r="DK17" s="120" t="s">
        <v>316</v>
      </c>
      <c r="DL17" s="117">
        <f t="shared" si="7"/>
        <v>0</v>
      </c>
      <c r="DM17" s="120"/>
      <c r="DN17" s="120" t="s">
        <v>316</v>
      </c>
      <c r="DO17" s="120" t="s">
        <v>316</v>
      </c>
      <c r="DP17" s="120" t="s">
        <v>316</v>
      </c>
      <c r="DQ17" s="120" t="s">
        <v>316</v>
      </c>
      <c r="DR17" s="120" t="s">
        <v>316</v>
      </c>
      <c r="DS17" s="120" t="s">
        <v>316</v>
      </c>
      <c r="DT17" s="120" t="s">
        <v>316</v>
      </c>
      <c r="DU17" s="120" t="s">
        <v>316</v>
      </c>
      <c r="DV17" s="120" t="s">
        <v>316</v>
      </c>
      <c r="DW17" s="120" t="s">
        <v>316</v>
      </c>
      <c r="DX17" s="120" t="s">
        <v>316</v>
      </c>
      <c r="DY17" s="117">
        <f t="shared" si="8"/>
        <v>0</v>
      </c>
      <c r="DZ17" s="116"/>
      <c r="EA17" s="121">
        <f t="shared" si="9"/>
        <v>49377</v>
      </c>
      <c r="EB17" s="121">
        <f t="shared" si="9"/>
        <v>49377</v>
      </c>
      <c r="EC17" s="121">
        <f t="shared" si="9"/>
        <v>47499</v>
      </c>
      <c r="ED17" s="116"/>
      <c r="EE17" s="121" t="str">
        <f t="shared" si="10"/>
        <v>ERROR</v>
      </c>
      <c r="EF17" s="118" t="str">
        <f t="shared" si="11"/>
        <v/>
      </c>
      <c r="EG17" s="118" t="str">
        <f t="shared" si="12"/>
        <v/>
      </c>
      <c r="EH17" s="116"/>
      <c r="EI17" s="120" t="s">
        <v>316</v>
      </c>
      <c r="EJ17" s="120" t="s">
        <v>316</v>
      </c>
      <c r="EK17" s="120" t="s">
        <v>316</v>
      </c>
      <c r="EL17" s="120" t="s">
        <v>316</v>
      </c>
      <c r="EM17" s="120" t="s">
        <v>316</v>
      </c>
      <c r="EN17" s="117">
        <f t="shared" si="13"/>
        <v>0</v>
      </c>
      <c r="EO17" s="120" t="s">
        <v>316</v>
      </c>
      <c r="EP17" s="120" t="s">
        <v>316</v>
      </c>
      <c r="EQ17" s="120" t="s">
        <v>316</v>
      </c>
      <c r="ER17" s="120" t="s">
        <v>316</v>
      </c>
      <c r="ES17" s="120" t="s">
        <v>316</v>
      </c>
      <c r="ET17" s="117">
        <f t="shared" si="14"/>
        <v>0</v>
      </c>
      <c r="EU17" s="120" t="s">
        <v>316</v>
      </c>
      <c r="EV17" s="120" t="s">
        <v>316</v>
      </c>
      <c r="EW17" s="120" t="s">
        <v>316</v>
      </c>
      <c r="EX17" s="120" t="s">
        <v>316</v>
      </c>
      <c r="EY17" s="120" t="s">
        <v>316</v>
      </c>
      <c r="EZ17" s="117">
        <f t="shared" si="15"/>
        <v>0</v>
      </c>
    </row>
    <row r="18" spans="1:156" x14ac:dyDescent="0.4">
      <c r="A18" s="116" t="s">
        <v>323</v>
      </c>
      <c r="B18" s="119">
        <v>4065904</v>
      </c>
      <c r="C18" s="122" t="s">
        <v>26</v>
      </c>
      <c r="D18" s="120">
        <v>0</v>
      </c>
      <c r="E18" s="120">
        <v>33458</v>
      </c>
      <c r="F18" s="120">
        <v>0</v>
      </c>
      <c r="G18" s="120">
        <v>0</v>
      </c>
      <c r="H18" s="120">
        <v>24790</v>
      </c>
      <c r="I18" s="120">
        <v>0</v>
      </c>
      <c r="J18" s="120">
        <v>0</v>
      </c>
      <c r="K18" s="120">
        <v>20429</v>
      </c>
      <c r="L18" s="120">
        <v>0</v>
      </c>
      <c r="M18" s="120"/>
      <c r="N18" s="120" t="s">
        <v>316</v>
      </c>
      <c r="O18" s="120" t="s">
        <v>316</v>
      </c>
      <c r="P18" s="120" t="s">
        <v>316</v>
      </c>
      <c r="Q18" s="120" t="s">
        <v>316</v>
      </c>
      <c r="R18" s="120" t="s">
        <v>316</v>
      </c>
      <c r="S18" s="120" t="s">
        <v>316</v>
      </c>
      <c r="T18" s="120" t="s">
        <v>316</v>
      </c>
      <c r="U18" s="120" t="s">
        <v>316</v>
      </c>
      <c r="V18" s="120" t="s">
        <v>316</v>
      </c>
      <c r="W18" s="120" t="s">
        <v>316</v>
      </c>
      <c r="X18" s="120" t="s">
        <v>316</v>
      </c>
      <c r="Y18" s="117">
        <f t="shared" si="0"/>
        <v>0</v>
      </c>
      <c r="Z18" s="120"/>
      <c r="AA18" s="120" t="s">
        <v>316</v>
      </c>
      <c r="AB18" s="120" t="s">
        <v>316</v>
      </c>
      <c r="AC18" s="120" t="s">
        <v>316</v>
      </c>
      <c r="AD18" s="120" t="s">
        <v>316</v>
      </c>
      <c r="AE18" s="120" t="s">
        <v>316</v>
      </c>
      <c r="AF18" s="120" t="s">
        <v>316</v>
      </c>
      <c r="AG18" s="120" t="s">
        <v>316</v>
      </c>
      <c r="AH18" s="120" t="s">
        <v>316</v>
      </c>
      <c r="AI18" s="120" t="s">
        <v>316</v>
      </c>
      <c r="AJ18" s="120" t="s">
        <v>316</v>
      </c>
      <c r="AK18" s="120" t="s">
        <v>316</v>
      </c>
      <c r="AL18" s="117">
        <f t="shared" si="1"/>
        <v>0</v>
      </c>
      <c r="AM18" s="120"/>
      <c r="AN18" s="120" t="s">
        <v>316</v>
      </c>
      <c r="AO18" s="120" t="s">
        <v>316</v>
      </c>
      <c r="AP18" s="120" t="s">
        <v>316</v>
      </c>
      <c r="AQ18" s="120" t="s">
        <v>316</v>
      </c>
      <c r="AR18" s="120" t="s">
        <v>316</v>
      </c>
      <c r="AS18" s="120" t="s">
        <v>316</v>
      </c>
      <c r="AT18" s="120" t="s">
        <v>316</v>
      </c>
      <c r="AU18" s="120" t="s">
        <v>316</v>
      </c>
      <c r="AV18" s="120" t="s">
        <v>316</v>
      </c>
      <c r="AW18" s="120" t="s">
        <v>316</v>
      </c>
      <c r="AX18" s="120" t="s">
        <v>316</v>
      </c>
      <c r="AY18" s="117">
        <f t="shared" si="2"/>
        <v>0</v>
      </c>
      <c r="AZ18" s="120"/>
      <c r="BA18" s="120">
        <v>21853</v>
      </c>
      <c r="BB18" s="120">
        <v>926</v>
      </c>
      <c r="BC18" s="120">
        <v>4621</v>
      </c>
      <c r="BD18" s="120" t="s">
        <v>316</v>
      </c>
      <c r="BE18" s="120">
        <v>24</v>
      </c>
      <c r="BF18" s="120">
        <v>0</v>
      </c>
      <c r="BG18" s="120">
        <v>0</v>
      </c>
      <c r="BH18" s="120">
        <v>0</v>
      </c>
      <c r="BI18" s="120">
        <v>0</v>
      </c>
      <c r="BJ18" s="120">
        <v>0</v>
      </c>
      <c r="BK18" s="120">
        <v>1702</v>
      </c>
      <c r="BL18" s="117">
        <f>BY18</f>
        <v>1883</v>
      </c>
      <c r="BM18" s="120"/>
      <c r="BN18" s="120">
        <v>15745</v>
      </c>
      <c r="BO18" s="120">
        <v>913</v>
      </c>
      <c r="BP18" s="120">
        <v>4545</v>
      </c>
      <c r="BQ18" s="120" t="s">
        <v>316</v>
      </c>
      <c r="BR18" s="120">
        <v>24</v>
      </c>
      <c r="BS18" s="120">
        <v>0</v>
      </c>
      <c r="BT18" s="120">
        <v>0</v>
      </c>
      <c r="BU18" s="120">
        <v>0</v>
      </c>
      <c r="BV18" s="120">
        <v>0</v>
      </c>
      <c r="BW18" s="120">
        <v>0</v>
      </c>
      <c r="BX18" s="120">
        <v>1680</v>
      </c>
      <c r="BY18" s="117">
        <f t="shared" si="4"/>
        <v>1883</v>
      </c>
      <c r="BZ18" s="120"/>
      <c r="CA18" s="120">
        <v>11862</v>
      </c>
      <c r="CB18" s="120">
        <v>767</v>
      </c>
      <c r="CC18" s="120">
        <v>4444</v>
      </c>
      <c r="CD18" s="120" t="s">
        <v>316</v>
      </c>
      <c r="CE18" s="120">
        <v>33</v>
      </c>
      <c r="CF18" s="120">
        <v>0</v>
      </c>
      <c r="CG18" s="120">
        <v>0</v>
      </c>
      <c r="CH18" s="120">
        <v>0</v>
      </c>
      <c r="CI18" s="120">
        <v>0</v>
      </c>
      <c r="CJ18" s="120">
        <v>0</v>
      </c>
      <c r="CK18" s="120">
        <v>1661</v>
      </c>
      <c r="CL18" s="117">
        <f t="shared" si="5"/>
        <v>1662</v>
      </c>
      <c r="CM18" s="120"/>
      <c r="CN18" s="120" t="s">
        <v>316</v>
      </c>
      <c r="CO18" s="120" t="s">
        <v>316</v>
      </c>
      <c r="CP18" s="120" t="s">
        <v>316</v>
      </c>
      <c r="CQ18" s="120" t="s">
        <v>316</v>
      </c>
      <c r="CR18" s="120" t="s">
        <v>316</v>
      </c>
      <c r="CS18" s="120" t="s">
        <v>316</v>
      </c>
      <c r="CT18" s="120" t="s">
        <v>316</v>
      </c>
      <c r="CU18" s="120" t="s">
        <v>316</v>
      </c>
      <c r="CV18" s="120" t="s">
        <v>316</v>
      </c>
      <c r="CW18" s="120" t="s">
        <v>316</v>
      </c>
      <c r="CX18" s="120" t="s">
        <v>316</v>
      </c>
      <c r="CY18" s="117">
        <f t="shared" si="6"/>
        <v>0</v>
      </c>
      <c r="CZ18" s="120"/>
      <c r="DA18" s="120" t="s">
        <v>316</v>
      </c>
      <c r="DB18" s="120" t="s">
        <v>316</v>
      </c>
      <c r="DC18" s="120" t="s">
        <v>316</v>
      </c>
      <c r="DD18" s="120" t="s">
        <v>316</v>
      </c>
      <c r="DE18" s="120" t="s">
        <v>316</v>
      </c>
      <c r="DF18" s="120" t="s">
        <v>316</v>
      </c>
      <c r="DG18" s="120" t="s">
        <v>316</v>
      </c>
      <c r="DH18" s="120" t="s">
        <v>316</v>
      </c>
      <c r="DI18" s="120" t="s">
        <v>316</v>
      </c>
      <c r="DJ18" s="120" t="s">
        <v>316</v>
      </c>
      <c r="DK18" s="120" t="s">
        <v>316</v>
      </c>
      <c r="DL18" s="117">
        <f t="shared" si="7"/>
        <v>0</v>
      </c>
      <c r="DM18" s="120"/>
      <c r="DN18" s="120" t="s">
        <v>316</v>
      </c>
      <c r="DO18" s="120" t="s">
        <v>316</v>
      </c>
      <c r="DP18" s="120" t="s">
        <v>316</v>
      </c>
      <c r="DQ18" s="120" t="s">
        <v>316</v>
      </c>
      <c r="DR18" s="120" t="s">
        <v>316</v>
      </c>
      <c r="DS18" s="120" t="s">
        <v>316</v>
      </c>
      <c r="DT18" s="120" t="s">
        <v>316</v>
      </c>
      <c r="DU18" s="120" t="s">
        <v>316</v>
      </c>
      <c r="DV18" s="120" t="s">
        <v>316</v>
      </c>
      <c r="DW18" s="120" t="s">
        <v>316</v>
      </c>
      <c r="DX18" s="120" t="s">
        <v>316</v>
      </c>
      <c r="DY18" s="117">
        <f t="shared" si="8"/>
        <v>0</v>
      </c>
      <c r="DZ18" s="116"/>
      <c r="EA18" s="121">
        <f t="shared" si="9"/>
        <v>1883</v>
      </c>
      <c r="EB18" s="121">
        <f t="shared" si="9"/>
        <v>1883</v>
      </c>
      <c r="EC18" s="121">
        <f t="shared" si="9"/>
        <v>1662</v>
      </c>
      <c r="ED18" s="116"/>
      <c r="EE18" s="121" t="str">
        <f t="shared" si="10"/>
        <v>ERROR</v>
      </c>
      <c r="EF18" s="118" t="str">
        <f t="shared" si="11"/>
        <v/>
      </c>
      <c r="EG18" s="118" t="str">
        <f t="shared" si="12"/>
        <v/>
      </c>
      <c r="EH18" s="116"/>
      <c r="EI18" s="120" t="s">
        <v>316</v>
      </c>
      <c r="EJ18" s="120" t="s">
        <v>316</v>
      </c>
      <c r="EK18" s="120" t="s">
        <v>316</v>
      </c>
      <c r="EL18" s="120" t="s">
        <v>316</v>
      </c>
      <c r="EM18" s="120" t="s">
        <v>316</v>
      </c>
      <c r="EN18" s="117">
        <f t="shared" si="13"/>
        <v>0</v>
      </c>
      <c r="EO18" s="120" t="s">
        <v>316</v>
      </c>
      <c r="EP18" s="120" t="s">
        <v>316</v>
      </c>
      <c r="EQ18" s="120" t="s">
        <v>316</v>
      </c>
      <c r="ER18" s="120" t="s">
        <v>316</v>
      </c>
      <c r="ES18" s="120" t="s">
        <v>316</v>
      </c>
      <c r="ET18" s="117">
        <f t="shared" si="14"/>
        <v>0</v>
      </c>
      <c r="EU18" s="120" t="s">
        <v>316</v>
      </c>
      <c r="EV18" s="120" t="s">
        <v>316</v>
      </c>
      <c r="EW18" s="120" t="s">
        <v>316</v>
      </c>
      <c r="EX18" s="120" t="s">
        <v>316</v>
      </c>
      <c r="EY18" s="120" t="s">
        <v>316</v>
      </c>
      <c r="EZ18" s="117">
        <f t="shared" si="15"/>
        <v>0</v>
      </c>
    </row>
    <row r="19" spans="1:156" x14ac:dyDescent="0.4">
      <c r="A19" s="116" t="s">
        <v>324</v>
      </c>
      <c r="B19" s="119">
        <v>4004389</v>
      </c>
      <c r="C19" s="122" t="s">
        <v>26</v>
      </c>
      <c r="D19" s="120">
        <v>1798117</v>
      </c>
      <c r="E19" s="120">
        <v>418053</v>
      </c>
      <c r="F19" s="120">
        <v>0</v>
      </c>
      <c r="G19" s="120">
        <v>1480777</v>
      </c>
      <c r="H19" s="120">
        <v>333343</v>
      </c>
      <c r="I19" s="120">
        <v>0</v>
      </c>
      <c r="J19" s="120">
        <v>1283464</v>
      </c>
      <c r="K19" s="120">
        <v>286571</v>
      </c>
      <c r="L19" s="120">
        <v>0</v>
      </c>
      <c r="M19" s="120"/>
      <c r="N19" s="120">
        <v>1134242</v>
      </c>
      <c r="O19" s="120">
        <v>240697</v>
      </c>
      <c r="P19" s="120">
        <v>136535</v>
      </c>
      <c r="Q19" s="120">
        <v>0</v>
      </c>
      <c r="R19" s="120">
        <v>11638</v>
      </c>
      <c r="S19" s="120">
        <v>0</v>
      </c>
      <c r="T19" s="120">
        <v>0</v>
      </c>
      <c r="U19" s="120">
        <v>0</v>
      </c>
      <c r="V19" s="120">
        <v>0</v>
      </c>
      <c r="W19" s="120">
        <v>986</v>
      </c>
      <c r="X19" s="120">
        <v>138229</v>
      </c>
      <c r="Y19" s="117">
        <f t="shared" si="0"/>
        <v>137762</v>
      </c>
      <c r="Z19" s="120"/>
      <c r="AA19" s="120">
        <v>814240</v>
      </c>
      <c r="AB19" s="120">
        <v>260534</v>
      </c>
      <c r="AC19" s="120">
        <v>124239</v>
      </c>
      <c r="AD19" s="120">
        <v>0</v>
      </c>
      <c r="AE19" s="120">
        <v>8984</v>
      </c>
      <c r="AF19" s="120">
        <v>0</v>
      </c>
      <c r="AG19" s="120">
        <v>0</v>
      </c>
      <c r="AH19" s="120">
        <v>0</v>
      </c>
      <c r="AI19" s="120">
        <v>0</v>
      </c>
      <c r="AJ19" s="120">
        <v>986</v>
      </c>
      <c r="AK19" s="120">
        <v>134951</v>
      </c>
      <c r="AL19" s="117">
        <f t="shared" si="1"/>
        <v>138815</v>
      </c>
      <c r="AM19" s="120"/>
      <c r="AN19" s="120">
        <v>671053</v>
      </c>
      <c r="AO19" s="120">
        <v>239345</v>
      </c>
      <c r="AP19" s="120">
        <v>117044</v>
      </c>
      <c r="AQ19" s="120">
        <v>0</v>
      </c>
      <c r="AR19" s="120">
        <v>7960</v>
      </c>
      <c r="AS19" s="120">
        <v>0</v>
      </c>
      <c r="AT19" s="120">
        <v>0</v>
      </c>
      <c r="AU19" s="120">
        <v>0</v>
      </c>
      <c r="AV19" s="120">
        <v>0</v>
      </c>
      <c r="AW19" s="120">
        <v>1568</v>
      </c>
      <c r="AX19" s="120">
        <v>128537</v>
      </c>
      <c r="AY19" s="117">
        <f t="shared" si="2"/>
        <v>121093</v>
      </c>
      <c r="AZ19" s="120"/>
      <c r="BA19" s="120">
        <v>285946</v>
      </c>
      <c r="BB19" s="120">
        <v>14099</v>
      </c>
      <c r="BC19" s="120">
        <v>35829</v>
      </c>
      <c r="BD19" s="120">
        <v>0</v>
      </c>
      <c r="BE19" s="120">
        <v>2859</v>
      </c>
      <c r="BF19" s="120">
        <v>0</v>
      </c>
      <c r="BG19" s="120">
        <v>0</v>
      </c>
      <c r="BH19" s="120">
        <v>0</v>
      </c>
      <c r="BI19" s="120">
        <v>0</v>
      </c>
      <c r="BJ19" s="120">
        <v>-17</v>
      </c>
      <c r="BK19" s="120">
        <v>30858</v>
      </c>
      <c r="BL19" s="117">
        <f t="shared" si="3"/>
        <v>48445</v>
      </c>
      <c r="BM19" s="120"/>
      <c r="BN19" s="120">
        <v>201159</v>
      </c>
      <c r="BO19" s="120">
        <v>13475</v>
      </c>
      <c r="BP19" s="120">
        <v>34463</v>
      </c>
      <c r="BQ19" s="120">
        <v>0</v>
      </c>
      <c r="BR19" s="120">
        <v>2271</v>
      </c>
      <c r="BS19" s="120">
        <v>0</v>
      </c>
      <c r="BT19" s="120">
        <v>0</v>
      </c>
      <c r="BU19" s="120">
        <v>0</v>
      </c>
      <c r="BV19" s="120">
        <v>0</v>
      </c>
      <c r="BW19" s="120">
        <v>-17</v>
      </c>
      <c r="BX19" s="120">
        <v>29639</v>
      </c>
      <c r="BY19" s="117">
        <f t="shared" si="4"/>
        <v>52319</v>
      </c>
      <c r="BZ19" s="120"/>
      <c r="CA19" s="120">
        <v>166928</v>
      </c>
      <c r="CB19" s="120">
        <v>10264</v>
      </c>
      <c r="CC19" s="120">
        <v>31706</v>
      </c>
      <c r="CD19" s="120">
        <v>0</v>
      </c>
      <c r="CE19" s="120">
        <v>2038</v>
      </c>
      <c r="CF19" s="120">
        <v>0</v>
      </c>
      <c r="CG19" s="120">
        <v>0</v>
      </c>
      <c r="CH19" s="120">
        <v>0</v>
      </c>
      <c r="CI19" s="120">
        <v>0</v>
      </c>
      <c r="CJ19" s="120">
        <v>-27</v>
      </c>
      <c r="CK19" s="120">
        <v>28002</v>
      </c>
      <c r="CL19" s="117">
        <f t="shared" si="5"/>
        <v>47606</v>
      </c>
      <c r="CM19" s="120"/>
      <c r="CN19" s="120">
        <v>0</v>
      </c>
      <c r="CO19" s="120">
        <v>0</v>
      </c>
      <c r="CP19" s="120">
        <v>0</v>
      </c>
      <c r="CQ19" s="120">
        <v>0</v>
      </c>
      <c r="CR19" s="120">
        <v>0</v>
      </c>
      <c r="CS19" s="120">
        <v>0</v>
      </c>
      <c r="CT19" s="120">
        <v>0</v>
      </c>
      <c r="CU19" s="120">
        <v>0</v>
      </c>
      <c r="CV19" s="120">
        <v>0</v>
      </c>
      <c r="CW19" s="120">
        <v>0</v>
      </c>
      <c r="CX19" s="120">
        <v>0</v>
      </c>
      <c r="CY19" s="117">
        <f t="shared" si="6"/>
        <v>0</v>
      </c>
      <c r="CZ19" s="120"/>
      <c r="DA19" s="120">
        <v>0</v>
      </c>
      <c r="DB19" s="120">
        <v>0</v>
      </c>
      <c r="DC19" s="120">
        <v>0</v>
      </c>
      <c r="DD19" s="120">
        <v>0</v>
      </c>
      <c r="DE19" s="120">
        <v>0</v>
      </c>
      <c r="DF19" s="120">
        <v>0</v>
      </c>
      <c r="DG19" s="120">
        <v>0</v>
      </c>
      <c r="DH19" s="120">
        <v>0</v>
      </c>
      <c r="DI19" s="120">
        <v>0</v>
      </c>
      <c r="DJ19" s="120">
        <v>0</v>
      </c>
      <c r="DK19" s="120">
        <v>0</v>
      </c>
      <c r="DL19" s="117">
        <f t="shared" si="7"/>
        <v>0</v>
      </c>
      <c r="DM19" s="120"/>
      <c r="DN19" s="120">
        <v>0</v>
      </c>
      <c r="DO19" s="120">
        <v>0</v>
      </c>
      <c r="DP19" s="120">
        <v>0</v>
      </c>
      <c r="DQ19" s="120">
        <v>0</v>
      </c>
      <c r="DR19" s="120">
        <v>0</v>
      </c>
      <c r="DS19" s="120">
        <v>0</v>
      </c>
      <c r="DT19" s="120">
        <v>0</v>
      </c>
      <c r="DU19" s="120">
        <v>0</v>
      </c>
      <c r="DV19" s="120">
        <v>0</v>
      </c>
      <c r="DW19" s="120">
        <v>0</v>
      </c>
      <c r="DX19" s="120">
        <v>0</v>
      </c>
      <c r="DY19" s="117">
        <f t="shared" si="8"/>
        <v>0</v>
      </c>
      <c r="DZ19" s="116"/>
      <c r="EA19" s="121">
        <f t="shared" si="9"/>
        <v>186207</v>
      </c>
      <c r="EB19" s="121">
        <f t="shared" si="9"/>
        <v>191134</v>
      </c>
      <c r="EC19" s="121">
        <f t="shared" si="9"/>
        <v>168699</v>
      </c>
      <c r="ED19" s="116"/>
      <c r="EE19" s="121" t="str">
        <f t="shared" si="10"/>
        <v/>
      </c>
      <c r="EF19" s="118" t="str">
        <f t="shared" si="11"/>
        <v/>
      </c>
      <c r="EG19" s="118" t="str">
        <f t="shared" si="12"/>
        <v/>
      </c>
      <c r="EH19" s="116"/>
      <c r="EI19" s="120">
        <v>5816877</v>
      </c>
      <c r="EJ19" s="120">
        <v>4211301</v>
      </c>
      <c r="EK19" s="120">
        <v>916757</v>
      </c>
      <c r="EL19" s="120">
        <v>0</v>
      </c>
      <c r="EM19" s="120">
        <v>688819</v>
      </c>
      <c r="EN19" s="117">
        <f t="shared" si="13"/>
        <v>5128058</v>
      </c>
      <c r="EO19" s="120">
        <v>5198356</v>
      </c>
      <c r="EP19" s="120">
        <v>3702943</v>
      </c>
      <c r="EQ19" s="120">
        <v>872969</v>
      </c>
      <c r="ER19" s="120">
        <v>0</v>
      </c>
      <c r="ES19" s="120">
        <v>622445</v>
      </c>
      <c r="ET19" s="117">
        <f t="shared" si="14"/>
        <v>4575912</v>
      </c>
      <c r="EU19" s="120">
        <v>4609769</v>
      </c>
      <c r="EV19" s="120">
        <v>3268178</v>
      </c>
      <c r="EW19" s="120">
        <v>836005</v>
      </c>
      <c r="EX19" s="120">
        <v>0</v>
      </c>
      <c r="EY19" s="120">
        <v>505586</v>
      </c>
      <c r="EZ19" s="117">
        <f t="shared" si="15"/>
        <v>4104183</v>
      </c>
    </row>
    <row r="20" spans="1:156" x14ac:dyDescent="0.4">
      <c r="A20" s="116" t="s">
        <v>325</v>
      </c>
      <c r="B20" s="119">
        <v>4057096</v>
      </c>
      <c r="C20" s="122" t="s">
        <v>26</v>
      </c>
      <c r="D20" s="120">
        <v>795797</v>
      </c>
      <c r="E20" s="120">
        <v>381774</v>
      </c>
      <c r="F20" s="120">
        <v>0</v>
      </c>
      <c r="G20" s="120">
        <v>663120</v>
      </c>
      <c r="H20" s="120">
        <v>299184</v>
      </c>
      <c r="I20" s="120">
        <v>0</v>
      </c>
      <c r="J20" s="120">
        <v>616284</v>
      </c>
      <c r="K20" s="120">
        <v>261712</v>
      </c>
      <c r="L20" s="120">
        <v>0</v>
      </c>
      <c r="M20" s="120"/>
      <c r="N20" s="120">
        <v>394069</v>
      </c>
      <c r="O20" s="120">
        <v>87602</v>
      </c>
      <c r="P20" s="120">
        <v>76953</v>
      </c>
      <c r="Q20" s="120">
        <v>0</v>
      </c>
      <c r="R20" s="120">
        <v>5007</v>
      </c>
      <c r="S20" s="120">
        <v>0</v>
      </c>
      <c r="T20" s="120">
        <v>0</v>
      </c>
      <c r="U20" s="120">
        <v>0</v>
      </c>
      <c r="V20" s="120">
        <v>0</v>
      </c>
      <c r="W20" s="120">
        <v>6597</v>
      </c>
      <c r="X20" s="120">
        <v>110796</v>
      </c>
      <c r="Y20" s="117">
        <f t="shared" si="0"/>
        <v>127967</v>
      </c>
      <c r="Z20" s="120"/>
      <c r="AA20" s="120">
        <v>299605</v>
      </c>
      <c r="AB20" s="120">
        <v>79152</v>
      </c>
      <c r="AC20" s="120">
        <v>71303</v>
      </c>
      <c r="AD20" s="120">
        <v>0</v>
      </c>
      <c r="AE20" s="120">
        <v>3717</v>
      </c>
      <c r="AF20" s="120">
        <v>0</v>
      </c>
      <c r="AG20" s="120">
        <v>0</v>
      </c>
      <c r="AH20" s="120">
        <v>0</v>
      </c>
      <c r="AI20" s="120">
        <v>0</v>
      </c>
      <c r="AJ20" s="120">
        <v>6597</v>
      </c>
      <c r="AK20" s="120">
        <v>106384</v>
      </c>
      <c r="AL20" s="117">
        <f t="shared" si="1"/>
        <v>109556</v>
      </c>
      <c r="AM20" s="120"/>
      <c r="AN20" s="120">
        <v>262127</v>
      </c>
      <c r="AO20" s="120">
        <v>72496</v>
      </c>
      <c r="AP20" s="120">
        <v>64672</v>
      </c>
      <c r="AQ20" s="120">
        <v>0</v>
      </c>
      <c r="AR20" s="120">
        <v>3232</v>
      </c>
      <c r="AS20" s="120">
        <v>0</v>
      </c>
      <c r="AT20" s="120">
        <v>0</v>
      </c>
      <c r="AU20" s="120">
        <v>0</v>
      </c>
      <c r="AV20" s="120">
        <v>0</v>
      </c>
      <c r="AW20" s="120">
        <v>4398</v>
      </c>
      <c r="AX20" s="120">
        <v>97240</v>
      </c>
      <c r="AY20" s="117">
        <f t="shared" si="2"/>
        <v>120915</v>
      </c>
      <c r="AZ20" s="120"/>
      <c r="BA20" s="120">
        <v>252609</v>
      </c>
      <c r="BB20" s="120">
        <v>10920</v>
      </c>
      <c r="BC20" s="120">
        <v>31614</v>
      </c>
      <c r="BD20" s="120">
        <v>0</v>
      </c>
      <c r="BE20" s="120">
        <v>2018</v>
      </c>
      <c r="BF20" s="120">
        <v>0</v>
      </c>
      <c r="BG20" s="120">
        <v>0</v>
      </c>
      <c r="BH20" s="120">
        <v>0</v>
      </c>
      <c r="BI20" s="120">
        <v>0</v>
      </c>
      <c r="BJ20" s="120">
        <v>-70</v>
      </c>
      <c r="BK20" s="120">
        <v>39729</v>
      </c>
      <c r="BL20" s="117">
        <f t="shared" si="3"/>
        <v>44814</v>
      </c>
      <c r="BM20" s="120"/>
      <c r="BN20" s="120">
        <v>181176</v>
      </c>
      <c r="BO20" s="120">
        <v>7931</v>
      </c>
      <c r="BP20" s="120">
        <v>28223</v>
      </c>
      <c r="BQ20" s="120">
        <v>0</v>
      </c>
      <c r="BR20" s="120">
        <v>1501</v>
      </c>
      <c r="BS20" s="120">
        <v>0</v>
      </c>
      <c r="BT20" s="120">
        <v>0</v>
      </c>
      <c r="BU20" s="120">
        <v>0</v>
      </c>
      <c r="BV20" s="120">
        <v>0</v>
      </c>
      <c r="BW20" s="120">
        <v>-70</v>
      </c>
      <c r="BX20" s="120">
        <v>37630</v>
      </c>
      <c r="BY20" s="117">
        <f t="shared" si="4"/>
        <v>42653</v>
      </c>
      <c r="BZ20" s="120"/>
      <c r="CA20" s="120">
        <v>152125</v>
      </c>
      <c r="CB20" s="120">
        <v>8014</v>
      </c>
      <c r="CC20" s="120">
        <v>27429</v>
      </c>
      <c r="CD20" s="120">
        <v>0</v>
      </c>
      <c r="CE20" s="120">
        <v>1307</v>
      </c>
      <c r="CF20" s="120">
        <v>0</v>
      </c>
      <c r="CG20" s="120">
        <v>0</v>
      </c>
      <c r="CH20" s="120">
        <v>0</v>
      </c>
      <c r="CI20" s="120">
        <v>0</v>
      </c>
      <c r="CJ20" s="120">
        <v>-46</v>
      </c>
      <c r="CK20" s="120">
        <v>34633</v>
      </c>
      <c r="CL20" s="117">
        <f t="shared" si="5"/>
        <v>38158</v>
      </c>
      <c r="CM20" s="120"/>
      <c r="CN20" s="120">
        <v>0</v>
      </c>
      <c r="CO20" s="120">
        <v>0</v>
      </c>
      <c r="CP20" s="120">
        <v>0</v>
      </c>
      <c r="CQ20" s="120">
        <v>0</v>
      </c>
      <c r="CR20" s="120">
        <v>0</v>
      </c>
      <c r="CS20" s="120">
        <v>0</v>
      </c>
      <c r="CT20" s="120">
        <v>0</v>
      </c>
      <c r="CU20" s="120">
        <v>0</v>
      </c>
      <c r="CV20" s="120">
        <v>0</v>
      </c>
      <c r="CW20" s="120">
        <v>0</v>
      </c>
      <c r="CX20" s="120">
        <v>0</v>
      </c>
      <c r="CY20" s="117">
        <f t="shared" si="6"/>
        <v>0</v>
      </c>
      <c r="CZ20" s="120"/>
      <c r="DA20" s="120">
        <v>0</v>
      </c>
      <c r="DB20" s="120">
        <v>0</v>
      </c>
      <c r="DC20" s="120">
        <v>0</v>
      </c>
      <c r="DD20" s="120">
        <v>0</v>
      </c>
      <c r="DE20" s="120">
        <v>0</v>
      </c>
      <c r="DF20" s="120">
        <v>0</v>
      </c>
      <c r="DG20" s="120">
        <v>0</v>
      </c>
      <c r="DH20" s="120">
        <v>0</v>
      </c>
      <c r="DI20" s="120">
        <v>0</v>
      </c>
      <c r="DJ20" s="120">
        <v>0</v>
      </c>
      <c r="DK20" s="120">
        <v>0</v>
      </c>
      <c r="DL20" s="117">
        <f t="shared" si="7"/>
        <v>0</v>
      </c>
      <c r="DM20" s="120"/>
      <c r="DN20" s="120">
        <v>0</v>
      </c>
      <c r="DO20" s="120">
        <v>0</v>
      </c>
      <c r="DP20" s="120">
        <v>0</v>
      </c>
      <c r="DQ20" s="120">
        <v>0</v>
      </c>
      <c r="DR20" s="120">
        <v>0</v>
      </c>
      <c r="DS20" s="120">
        <v>0</v>
      </c>
      <c r="DT20" s="120">
        <v>0</v>
      </c>
      <c r="DU20" s="120">
        <v>0</v>
      </c>
      <c r="DV20" s="120">
        <v>0</v>
      </c>
      <c r="DW20" s="120">
        <v>0</v>
      </c>
      <c r="DX20" s="120">
        <v>0</v>
      </c>
      <c r="DY20" s="117">
        <f t="shared" si="8"/>
        <v>0</v>
      </c>
      <c r="DZ20" s="116"/>
      <c r="EA20" s="121">
        <f t="shared" si="9"/>
        <v>172781</v>
      </c>
      <c r="EB20" s="121">
        <f t="shared" si="9"/>
        <v>152209</v>
      </c>
      <c r="EC20" s="121">
        <f t="shared" si="9"/>
        <v>159073</v>
      </c>
      <c r="ED20" s="116"/>
      <c r="EE20" s="121" t="str">
        <f t="shared" si="10"/>
        <v/>
      </c>
      <c r="EF20" s="118" t="str">
        <f t="shared" si="11"/>
        <v/>
      </c>
      <c r="EG20" s="118" t="str">
        <f t="shared" si="12"/>
        <v/>
      </c>
      <c r="EH20" s="116"/>
      <c r="EI20" s="120">
        <v>4011530</v>
      </c>
      <c r="EJ20" s="120">
        <v>2876361</v>
      </c>
      <c r="EK20" s="120">
        <v>779978</v>
      </c>
      <c r="EL20" s="120">
        <v>0</v>
      </c>
      <c r="EM20" s="120">
        <v>355190</v>
      </c>
      <c r="EN20" s="117">
        <f t="shared" si="13"/>
        <v>3656339</v>
      </c>
      <c r="EO20" s="120">
        <v>3747855</v>
      </c>
      <c r="EP20" s="120">
        <v>2670711</v>
      </c>
      <c r="EQ20" s="120">
        <v>753031</v>
      </c>
      <c r="ER20" s="120">
        <v>0</v>
      </c>
      <c r="ES20" s="120">
        <v>324113</v>
      </c>
      <c r="ET20" s="117">
        <f t="shared" si="14"/>
        <v>3423742</v>
      </c>
      <c r="EU20" s="120">
        <v>3457738</v>
      </c>
      <c r="EV20" s="120">
        <v>2499458</v>
      </c>
      <c r="EW20" s="120">
        <v>686195</v>
      </c>
      <c r="EX20" s="120">
        <v>0</v>
      </c>
      <c r="EY20" s="120">
        <v>272085</v>
      </c>
      <c r="EZ20" s="117">
        <f t="shared" si="15"/>
        <v>3185653</v>
      </c>
    </row>
    <row r="21" spans="1:156" x14ac:dyDescent="0.4">
      <c r="A21" s="116" t="s">
        <v>326</v>
      </c>
      <c r="B21" s="119">
        <v>4063060</v>
      </c>
      <c r="C21" s="122" t="s">
        <v>26</v>
      </c>
      <c r="D21" s="120" t="s">
        <v>316</v>
      </c>
      <c r="E21" s="120" t="s">
        <v>316</v>
      </c>
      <c r="F21" s="120" t="s">
        <v>316</v>
      </c>
      <c r="G21" s="120">
        <v>0</v>
      </c>
      <c r="H21" s="120">
        <v>413348</v>
      </c>
      <c r="I21" s="120">
        <v>0</v>
      </c>
      <c r="J21" s="120">
        <v>0</v>
      </c>
      <c r="K21" s="120">
        <v>343889</v>
      </c>
      <c r="L21" s="120">
        <v>0</v>
      </c>
      <c r="M21" s="120"/>
      <c r="N21" s="120" t="s">
        <v>316</v>
      </c>
      <c r="O21" s="120" t="s">
        <v>316</v>
      </c>
      <c r="P21" s="120" t="s">
        <v>316</v>
      </c>
      <c r="Q21" s="120" t="s">
        <v>316</v>
      </c>
      <c r="R21" s="120" t="s">
        <v>316</v>
      </c>
      <c r="S21" s="120" t="s">
        <v>316</v>
      </c>
      <c r="T21" s="120" t="s">
        <v>316</v>
      </c>
      <c r="U21" s="120" t="s">
        <v>316</v>
      </c>
      <c r="V21" s="120" t="s">
        <v>316</v>
      </c>
      <c r="W21" s="120" t="s">
        <v>316</v>
      </c>
      <c r="X21" s="120" t="s">
        <v>316</v>
      </c>
      <c r="Y21" s="117">
        <f t="shared" si="0"/>
        <v>0</v>
      </c>
      <c r="Z21" s="120"/>
      <c r="AA21" s="120" t="s">
        <v>316</v>
      </c>
      <c r="AB21" s="120" t="s">
        <v>316</v>
      </c>
      <c r="AC21" s="120" t="s">
        <v>316</v>
      </c>
      <c r="AD21" s="120" t="s">
        <v>316</v>
      </c>
      <c r="AE21" s="120" t="s">
        <v>316</v>
      </c>
      <c r="AF21" s="120" t="s">
        <v>316</v>
      </c>
      <c r="AG21" s="120" t="s">
        <v>316</v>
      </c>
      <c r="AH21" s="120" t="s">
        <v>316</v>
      </c>
      <c r="AI21" s="120" t="s">
        <v>316</v>
      </c>
      <c r="AJ21" s="120" t="s">
        <v>316</v>
      </c>
      <c r="AK21" s="120" t="s">
        <v>316</v>
      </c>
      <c r="AL21" s="117">
        <f t="shared" si="1"/>
        <v>0</v>
      </c>
      <c r="AM21" s="120"/>
      <c r="AN21" s="120" t="s">
        <v>316</v>
      </c>
      <c r="AO21" s="120" t="s">
        <v>316</v>
      </c>
      <c r="AP21" s="120" t="s">
        <v>316</v>
      </c>
      <c r="AQ21" s="120" t="s">
        <v>316</v>
      </c>
      <c r="AR21" s="120" t="s">
        <v>316</v>
      </c>
      <c r="AS21" s="120" t="s">
        <v>316</v>
      </c>
      <c r="AT21" s="120" t="s">
        <v>316</v>
      </c>
      <c r="AU21" s="120" t="s">
        <v>316</v>
      </c>
      <c r="AV21" s="120" t="s">
        <v>316</v>
      </c>
      <c r="AW21" s="120" t="s">
        <v>316</v>
      </c>
      <c r="AX21" s="120" t="s">
        <v>316</v>
      </c>
      <c r="AY21" s="117">
        <f t="shared" si="2"/>
        <v>0</v>
      </c>
      <c r="AZ21" s="120"/>
      <c r="BA21" s="120" t="s">
        <v>316</v>
      </c>
      <c r="BB21" s="120" t="s">
        <v>316</v>
      </c>
      <c r="BC21" s="120" t="s">
        <v>316</v>
      </c>
      <c r="BD21" s="120" t="s">
        <v>316</v>
      </c>
      <c r="BE21" s="120" t="s">
        <v>316</v>
      </c>
      <c r="BF21" s="120" t="s">
        <v>316</v>
      </c>
      <c r="BG21" s="120" t="s">
        <v>316</v>
      </c>
      <c r="BH21" s="120" t="s">
        <v>316</v>
      </c>
      <c r="BI21" s="120" t="s">
        <v>316</v>
      </c>
      <c r="BJ21" s="120" t="s">
        <v>316</v>
      </c>
      <c r="BK21" s="120" t="s">
        <v>316</v>
      </c>
      <c r="BL21" s="117">
        <f>BY21</f>
        <v>61772</v>
      </c>
      <c r="BM21" s="120"/>
      <c r="BN21" s="120">
        <v>270866</v>
      </c>
      <c r="BO21" s="120">
        <v>16450</v>
      </c>
      <c r="BP21" s="120">
        <v>30713</v>
      </c>
      <c r="BQ21" s="120" t="s">
        <v>316</v>
      </c>
      <c r="BR21" s="120">
        <v>2954</v>
      </c>
      <c r="BS21" s="120">
        <v>0</v>
      </c>
      <c r="BT21" s="120">
        <v>0</v>
      </c>
      <c r="BU21" s="120">
        <v>0</v>
      </c>
      <c r="BV21" s="120">
        <v>0</v>
      </c>
      <c r="BW21" s="120">
        <v>0</v>
      </c>
      <c r="BX21" s="120">
        <v>30593</v>
      </c>
      <c r="BY21" s="117">
        <f t="shared" si="4"/>
        <v>61772</v>
      </c>
      <c r="BZ21" s="120"/>
      <c r="CA21" s="120">
        <v>207640</v>
      </c>
      <c r="CB21" s="120">
        <v>12461</v>
      </c>
      <c r="CC21" s="120">
        <v>32213</v>
      </c>
      <c r="CD21" s="120" t="s">
        <v>316</v>
      </c>
      <c r="CE21" s="120">
        <v>6997</v>
      </c>
      <c r="CF21" s="120">
        <v>0</v>
      </c>
      <c r="CG21" s="120">
        <v>0</v>
      </c>
      <c r="CH21" s="120">
        <v>0</v>
      </c>
      <c r="CI21" s="120">
        <v>0</v>
      </c>
      <c r="CJ21" s="120">
        <v>0</v>
      </c>
      <c r="CK21" s="120">
        <v>32167</v>
      </c>
      <c r="CL21" s="117">
        <f t="shared" si="5"/>
        <v>52411</v>
      </c>
      <c r="CM21" s="120"/>
      <c r="CN21" s="120" t="s">
        <v>316</v>
      </c>
      <c r="CO21" s="120" t="s">
        <v>316</v>
      </c>
      <c r="CP21" s="120" t="s">
        <v>316</v>
      </c>
      <c r="CQ21" s="120" t="s">
        <v>316</v>
      </c>
      <c r="CR21" s="120" t="s">
        <v>316</v>
      </c>
      <c r="CS21" s="120" t="s">
        <v>316</v>
      </c>
      <c r="CT21" s="120" t="s">
        <v>316</v>
      </c>
      <c r="CU21" s="120" t="s">
        <v>316</v>
      </c>
      <c r="CV21" s="120" t="s">
        <v>316</v>
      </c>
      <c r="CW21" s="120" t="s">
        <v>316</v>
      </c>
      <c r="CX21" s="120" t="s">
        <v>316</v>
      </c>
      <c r="CY21" s="117">
        <f t="shared" si="6"/>
        <v>0</v>
      </c>
      <c r="CZ21" s="120"/>
      <c r="DA21" s="120" t="s">
        <v>316</v>
      </c>
      <c r="DB21" s="120" t="s">
        <v>316</v>
      </c>
      <c r="DC21" s="120" t="s">
        <v>316</v>
      </c>
      <c r="DD21" s="120" t="s">
        <v>316</v>
      </c>
      <c r="DE21" s="120" t="s">
        <v>316</v>
      </c>
      <c r="DF21" s="120" t="s">
        <v>316</v>
      </c>
      <c r="DG21" s="120" t="s">
        <v>316</v>
      </c>
      <c r="DH21" s="120" t="s">
        <v>316</v>
      </c>
      <c r="DI21" s="120" t="s">
        <v>316</v>
      </c>
      <c r="DJ21" s="120" t="s">
        <v>316</v>
      </c>
      <c r="DK21" s="120" t="s">
        <v>316</v>
      </c>
      <c r="DL21" s="117">
        <f t="shared" si="7"/>
        <v>0</v>
      </c>
      <c r="DM21" s="120"/>
      <c r="DN21" s="120" t="s">
        <v>316</v>
      </c>
      <c r="DO21" s="120" t="s">
        <v>316</v>
      </c>
      <c r="DP21" s="120" t="s">
        <v>316</v>
      </c>
      <c r="DQ21" s="120" t="s">
        <v>316</v>
      </c>
      <c r="DR21" s="120" t="s">
        <v>316</v>
      </c>
      <c r="DS21" s="120" t="s">
        <v>316</v>
      </c>
      <c r="DT21" s="120" t="s">
        <v>316</v>
      </c>
      <c r="DU21" s="120" t="s">
        <v>316</v>
      </c>
      <c r="DV21" s="120" t="s">
        <v>316</v>
      </c>
      <c r="DW21" s="120" t="s">
        <v>316</v>
      </c>
      <c r="DX21" s="120" t="s">
        <v>316</v>
      </c>
      <c r="DY21" s="117">
        <f t="shared" si="8"/>
        <v>0</v>
      </c>
      <c r="DZ21" s="116"/>
      <c r="EA21" s="121">
        <f t="shared" si="9"/>
        <v>61772</v>
      </c>
      <c r="EB21" s="121">
        <f t="shared" si="9"/>
        <v>61772</v>
      </c>
      <c r="EC21" s="121">
        <f t="shared" si="9"/>
        <v>52411</v>
      </c>
      <c r="ED21" s="116"/>
      <c r="EE21" s="121" t="str">
        <f t="shared" si="10"/>
        <v>ERROR</v>
      </c>
      <c r="EF21" s="118" t="str">
        <f t="shared" si="11"/>
        <v/>
      </c>
      <c r="EG21" s="118" t="str">
        <f t="shared" si="12"/>
        <v/>
      </c>
      <c r="EH21" s="116"/>
      <c r="EI21" s="120" t="s">
        <v>316</v>
      </c>
      <c r="EJ21" s="120" t="s">
        <v>316</v>
      </c>
      <c r="EK21" s="120" t="s">
        <v>316</v>
      </c>
      <c r="EL21" s="120" t="s">
        <v>316</v>
      </c>
      <c r="EM21" s="120" t="s">
        <v>316</v>
      </c>
      <c r="EN21" s="117">
        <f t="shared" si="13"/>
        <v>0</v>
      </c>
      <c r="EO21" s="120" t="s">
        <v>316</v>
      </c>
      <c r="EP21" s="120" t="s">
        <v>316</v>
      </c>
      <c r="EQ21" s="120" t="s">
        <v>316</v>
      </c>
      <c r="ER21" s="120" t="s">
        <v>316</v>
      </c>
      <c r="ES21" s="120" t="s">
        <v>316</v>
      </c>
      <c r="ET21" s="117">
        <f t="shared" si="14"/>
        <v>0</v>
      </c>
      <c r="EU21" s="120" t="s">
        <v>316</v>
      </c>
      <c r="EV21" s="120" t="s">
        <v>316</v>
      </c>
      <c r="EW21" s="120" t="s">
        <v>316</v>
      </c>
      <c r="EX21" s="120" t="s">
        <v>316</v>
      </c>
      <c r="EY21" s="120" t="s">
        <v>316</v>
      </c>
      <c r="EZ21" s="117">
        <f t="shared" si="15"/>
        <v>0</v>
      </c>
    </row>
    <row r="22" spans="1:156" x14ac:dyDescent="0.4">
      <c r="A22" s="116" t="s">
        <v>327</v>
      </c>
      <c r="B22" s="119">
        <v>3004222</v>
      </c>
      <c r="C22" s="122" t="s">
        <v>26</v>
      </c>
      <c r="D22" s="120">
        <v>1065121</v>
      </c>
      <c r="E22" s="120">
        <v>0</v>
      </c>
      <c r="F22" s="120">
        <v>0</v>
      </c>
      <c r="G22" s="120">
        <v>966716</v>
      </c>
      <c r="H22" s="120">
        <v>0</v>
      </c>
      <c r="I22" s="120">
        <v>0</v>
      </c>
      <c r="J22" s="120">
        <v>1046832</v>
      </c>
      <c r="K22" s="120">
        <v>0</v>
      </c>
      <c r="L22" s="120">
        <v>0</v>
      </c>
      <c r="M22" s="120"/>
      <c r="N22" s="120">
        <v>653564</v>
      </c>
      <c r="O22" s="120">
        <v>48133</v>
      </c>
      <c r="P22" s="120">
        <v>91823</v>
      </c>
      <c r="Q22" s="120">
        <v>0</v>
      </c>
      <c r="R22" s="120">
        <v>17379</v>
      </c>
      <c r="S22" s="120">
        <v>0</v>
      </c>
      <c r="T22" s="120">
        <v>0</v>
      </c>
      <c r="U22" s="120">
        <v>0</v>
      </c>
      <c r="V22" s="120">
        <v>0</v>
      </c>
      <c r="W22" s="120">
        <v>0</v>
      </c>
      <c r="X22" s="120">
        <v>101135</v>
      </c>
      <c r="Y22" s="117">
        <f t="shared" si="0"/>
        <v>153087</v>
      </c>
      <c r="Z22" s="120"/>
      <c r="AA22" s="120">
        <v>551032</v>
      </c>
      <c r="AB22" s="120">
        <v>43859</v>
      </c>
      <c r="AC22" s="120">
        <v>89384</v>
      </c>
      <c r="AD22" s="120">
        <v>0</v>
      </c>
      <c r="AE22" s="120">
        <v>17739</v>
      </c>
      <c r="AF22" s="120">
        <v>0</v>
      </c>
      <c r="AG22" s="120">
        <v>0</v>
      </c>
      <c r="AH22" s="120">
        <v>0</v>
      </c>
      <c r="AI22" s="120">
        <v>0</v>
      </c>
      <c r="AJ22" s="120">
        <v>0</v>
      </c>
      <c r="AK22" s="120">
        <v>102888</v>
      </c>
      <c r="AL22" s="117">
        <f t="shared" si="1"/>
        <v>161814</v>
      </c>
      <c r="AM22" s="120"/>
      <c r="AN22" s="120">
        <v>594470</v>
      </c>
      <c r="AO22" s="120">
        <v>51170</v>
      </c>
      <c r="AP22" s="120">
        <v>87953</v>
      </c>
      <c r="AQ22" s="120">
        <v>0</v>
      </c>
      <c r="AR22" s="120">
        <v>22063</v>
      </c>
      <c r="AS22" s="120">
        <v>0</v>
      </c>
      <c r="AT22" s="120">
        <v>0</v>
      </c>
      <c r="AU22" s="120">
        <v>0</v>
      </c>
      <c r="AV22" s="120">
        <v>2499</v>
      </c>
      <c r="AW22" s="120">
        <v>573</v>
      </c>
      <c r="AX22" s="120">
        <v>112594</v>
      </c>
      <c r="AY22" s="117">
        <f t="shared" si="2"/>
        <v>176656</v>
      </c>
      <c r="AZ22" s="120"/>
      <c r="BA22" s="120">
        <v>0</v>
      </c>
      <c r="BB22" s="120">
        <v>0</v>
      </c>
      <c r="BC22" s="120">
        <v>0</v>
      </c>
      <c r="BD22" s="120">
        <v>0</v>
      </c>
      <c r="BE22" s="120">
        <v>0</v>
      </c>
      <c r="BF22" s="120">
        <v>0</v>
      </c>
      <c r="BG22" s="120">
        <v>0</v>
      </c>
      <c r="BH22" s="120">
        <v>0</v>
      </c>
      <c r="BI22" s="120">
        <v>0</v>
      </c>
      <c r="BJ22" s="120">
        <v>0</v>
      </c>
      <c r="BK22" s="120">
        <v>0</v>
      </c>
      <c r="BL22" s="117">
        <f t="shared" si="3"/>
        <v>0</v>
      </c>
      <c r="BM22" s="120"/>
      <c r="BN22" s="120">
        <v>0</v>
      </c>
      <c r="BO22" s="120">
        <v>0</v>
      </c>
      <c r="BP22" s="120">
        <v>0</v>
      </c>
      <c r="BQ22" s="120">
        <v>0</v>
      </c>
      <c r="BR22" s="120">
        <v>0</v>
      </c>
      <c r="BS22" s="120">
        <v>0</v>
      </c>
      <c r="BT22" s="120">
        <v>0</v>
      </c>
      <c r="BU22" s="120">
        <v>0</v>
      </c>
      <c r="BV22" s="120">
        <v>0</v>
      </c>
      <c r="BW22" s="120">
        <v>0</v>
      </c>
      <c r="BX22" s="120">
        <v>0</v>
      </c>
      <c r="BY22" s="117">
        <f t="shared" si="4"/>
        <v>0</v>
      </c>
      <c r="BZ22" s="120"/>
      <c r="CA22" s="120">
        <v>0</v>
      </c>
      <c r="CB22" s="120">
        <v>0</v>
      </c>
      <c r="CC22" s="120">
        <v>0</v>
      </c>
      <c r="CD22" s="120">
        <v>0</v>
      </c>
      <c r="CE22" s="120">
        <v>0</v>
      </c>
      <c r="CF22" s="120">
        <v>0</v>
      </c>
      <c r="CG22" s="120">
        <v>0</v>
      </c>
      <c r="CH22" s="120">
        <v>0</v>
      </c>
      <c r="CI22" s="120">
        <v>0</v>
      </c>
      <c r="CJ22" s="120">
        <v>0</v>
      </c>
      <c r="CK22" s="120">
        <v>0</v>
      </c>
      <c r="CL22" s="117">
        <f t="shared" si="5"/>
        <v>0</v>
      </c>
      <c r="CM22" s="120"/>
      <c r="CN22" s="120">
        <v>0</v>
      </c>
      <c r="CO22" s="120">
        <v>0</v>
      </c>
      <c r="CP22" s="120">
        <v>0</v>
      </c>
      <c r="CQ22" s="120">
        <v>0</v>
      </c>
      <c r="CR22" s="120">
        <v>0</v>
      </c>
      <c r="CS22" s="120">
        <v>0</v>
      </c>
      <c r="CT22" s="120">
        <v>0</v>
      </c>
      <c r="CU22" s="120">
        <v>0</v>
      </c>
      <c r="CV22" s="120">
        <v>0</v>
      </c>
      <c r="CW22" s="120">
        <v>0</v>
      </c>
      <c r="CX22" s="120">
        <v>0</v>
      </c>
      <c r="CY22" s="117">
        <f t="shared" si="6"/>
        <v>0</v>
      </c>
      <c r="CZ22" s="120"/>
      <c r="DA22" s="120">
        <v>0</v>
      </c>
      <c r="DB22" s="120">
        <v>0</v>
      </c>
      <c r="DC22" s="120">
        <v>0</v>
      </c>
      <c r="DD22" s="120">
        <v>0</v>
      </c>
      <c r="DE22" s="120">
        <v>0</v>
      </c>
      <c r="DF22" s="120">
        <v>0</v>
      </c>
      <c r="DG22" s="120">
        <v>0</v>
      </c>
      <c r="DH22" s="120">
        <v>0</v>
      </c>
      <c r="DI22" s="120">
        <v>0</v>
      </c>
      <c r="DJ22" s="120">
        <v>0</v>
      </c>
      <c r="DK22" s="120">
        <v>0</v>
      </c>
      <c r="DL22" s="117">
        <f t="shared" si="7"/>
        <v>0</v>
      </c>
      <c r="DM22" s="120"/>
      <c r="DN22" s="120">
        <v>0</v>
      </c>
      <c r="DO22" s="120">
        <v>0</v>
      </c>
      <c r="DP22" s="120">
        <v>0</v>
      </c>
      <c r="DQ22" s="120">
        <v>0</v>
      </c>
      <c r="DR22" s="120">
        <v>0</v>
      </c>
      <c r="DS22" s="120">
        <v>0</v>
      </c>
      <c r="DT22" s="120">
        <v>0</v>
      </c>
      <c r="DU22" s="120">
        <v>0</v>
      </c>
      <c r="DV22" s="120">
        <v>0</v>
      </c>
      <c r="DW22" s="120">
        <v>0</v>
      </c>
      <c r="DX22" s="120">
        <v>0</v>
      </c>
      <c r="DY22" s="117">
        <f t="shared" si="8"/>
        <v>0</v>
      </c>
      <c r="DZ22" s="116"/>
      <c r="EA22" s="121">
        <f t="shared" si="9"/>
        <v>153087</v>
      </c>
      <c r="EB22" s="121">
        <f t="shared" si="9"/>
        <v>161814</v>
      </c>
      <c r="EC22" s="121">
        <f t="shared" si="9"/>
        <v>176656</v>
      </c>
      <c r="ED22" s="116"/>
      <c r="EE22" s="121" t="str">
        <f t="shared" si="10"/>
        <v/>
      </c>
      <c r="EF22" s="118" t="str">
        <f t="shared" si="11"/>
        <v/>
      </c>
      <c r="EG22" s="118" t="str">
        <f t="shared" si="12"/>
        <v/>
      </c>
      <c r="EH22" s="116"/>
      <c r="EI22" s="120">
        <v>2798921</v>
      </c>
      <c r="EJ22" s="120">
        <v>2798921</v>
      </c>
      <c r="EK22" s="120">
        <v>0</v>
      </c>
      <c r="EL22" s="120">
        <v>0</v>
      </c>
      <c r="EM22" s="120">
        <v>0</v>
      </c>
      <c r="EN22" s="117">
        <f t="shared" si="13"/>
        <v>2798921</v>
      </c>
      <c r="EO22" s="120">
        <v>2684652</v>
      </c>
      <c r="EP22" s="120">
        <v>2684652</v>
      </c>
      <c r="EQ22" s="120">
        <v>0</v>
      </c>
      <c r="ER22" s="120">
        <v>0</v>
      </c>
      <c r="ES22" s="120">
        <v>0</v>
      </c>
      <c r="ET22" s="117">
        <f t="shared" si="14"/>
        <v>2684652</v>
      </c>
      <c r="EU22" s="120">
        <v>2607513</v>
      </c>
      <c r="EV22" s="120">
        <v>2607513</v>
      </c>
      <c r="EW22" s="120">
        <v>0</v>
      </c>
      <c r="EX22" s="120">
        <v>0</v>
      </c>
      <c r="EY22" s="120">
        <v>0</v>
      </c>
      <c r="EZ22" s="117">
        <f t="shared" si="15"/>
        <v>2607513</v>
      </c>
    </row>
    <row r="23" spans="1:156" x14ac:dyDescent="0.4">
      <c r="A23" s="116" t="s">
        <v>132</v>
      </c>
      <c r="B23" s="119">
        <v>4058371</v>
      </c>
      <c r="C23" s="116" t="s">
        <v>28</v>
      </c>
      <c r="D23" s="120">
        <v>46589</v>
      </c>
      <c r="E23" s="120">
        <v>0</v>
      </c>
      <c r="F23" s="120">
        <v>0</v>
      </c>
      <c r="G23" s="120">
        <v>45607</v>
      </c>
      <c r="H23" s="120">
        <v>0</v>
      </c>
      <c r="I23" s="120">
        <v>0</v>
      </c>
      <c r="J23" s="120">
        <v>44888</v>
      </c>
      <c r="K23" s="120">
        <v>0</v>
      </c>
      <c r="L23" s="120">
        <v>0</v>
      </c>
      <c r="M23" s="120"/>
      <c r="N23" s="120">
        <v>21010</v>
      </c>
      <c r="O23" s="120">
        <v>4211</v>
      </c>
      <c r="P23" s="120">
        <v>6989</v>
      </c>
      <c r="Q23" s="120">
        <v>0</v>
      </c>
      <c r="R23" s="120">
        <v>0</v>
      </c>
      <c r="S23" s="120">
        <v>0</v>
      </c>
      <c r="T23" s="120">
        <v>0</v>
      </c>
      <c r="U23" s="120">
        <v>0</v>
      </c>
      <c r="V23" s="120">
        <v>0</v>
      </c>
      <c r="W23" s="120">
        <v>0</v>
      </c>
      <c r="X23" s="120">
        <v>1053</v>
      </c>
      <c r="Y23" s="117">
        <f t="shared" si="0"/>
        <v>13326</v>
      </c>
      <c r="Z23" s="120"/>
      <c r="AA23" s="120">
        <v>20042</v>
      </c>
      <c r="AB23" s="120">
        <v>4258</v>
      </c>
      <c r="AC23" s="120">
        <v>6544</v>
      </c>
      <c r="AD23" s="120">
        <v>0</v>
      </c>
      <c r="AE23" s="120">
        <v>0</v>
      </c>
      <c r="AF23" s="120">
        <v>0</v>
      </c>
      <c r="AG23" s="120">
        <v>0</v>
      </c>
      <c r="AH23" s="120">
        <v>0</v>
      </c>
      <c r="AI23" s="120">
        <v>0</v>
      </c>
      <c r="AJ23" s="120">
        <v>0</v>
      </c>
      <c r="AK23" s="120">
        <v>1098</v>
      </c>
      <c r="AL23" s="117">
        <f t="shared" si="1"/>
        <v>13665</v>
      </c>
      <c r="AM23" s="120"/>
      <c r="AN23" s="120">
        <v>19287</v>
      </c>
      <c r="AO23" s="120">
        <v>4119</v>
      </c>
      <c r="AP23" s="120">
        <v>6014</v>
      </c>
      <c r="AQ23" s="120">
        <v>0</v>
      </c>
      <c r="AR23" s="120">
        <v>0</v>
      </c>
      <c r="AS23" s="120">
        <v>0</v>
      </c>
      <c r="AT23" s="120">
        <v>0</v>
      </c>
      <c r="AU23" s="120">
        <v>0</v>
      </c>
      <c r="AV23" s="120">
        <v>0</v>
      </c>
      <c r="AW23" s="120">
        <v>0</v>
      </c>
      <c r="AX23" s="120">
        <v>1044</v>
      </c>
      <c r="AY23" s="117">
        <f t="shared" si="2"/>
        <v>14424</v>
      </c>
      <c r="AZ23" s="120"/>
      <c r="BA23" s="120">
        <v>0</v>
      </c>
      <c r="BB23" s="120">
        <v>0</v>
      </c>
      <c r="BC23" s="120">
        <v>0</v>
      </c>
      <c r="BD23" s="120">
        <v>0</v>
      </c>
      <c r="BE23" s="120">
        <v>0</v>
      </c>
      <c r="BF23" s="120">
        <v>0</v>
      </c>
      <c r="BG23" s="120">
        <v>0</v>
      </c>
      <c r="BH23" s="120">
        <v>0</v>
      </c>
      <c r="BI23" s="120">
        <v>0</v>
      </c>
      <c r="BJ23" s="120">
        <v>0</v>
      </c>
      <c r="BK23" s="120">
        <v>0</v>
      </c>
      <c r="BL23" s="117">
        <f t="shared" si="3"/>
        <v>0</v>
      </c>
      <c r="BM23" s="120"/>
      <c r="BN23" s="120">
        <v>0</v>
      </c>
      <c r="BO23" s="120">
        <v>0</v>
      </c>
      <c r="BP23" s="120">
        <v>0</v>
      </c>
      <c r="BQ23" s="120">
        <v>0</v>
      </c>
      <c r="BR23" s="120">
        <v>0</v>
      </c>
      <c r="BS23" s="120">
        <v>0</v>
      </c>
      <c r="BT23" s="120">
        <v>0</v>
      </c>
      <c r="BU23" s="120">
        <v>0</v>
      </c>
      <c r="BV23" s="120">
        <v>0</v>
      </c>
      <c r="BW23" s="120">
        <v>0</v>
      </c>
      <c r="BX23" s="120">
        <v>0</v>
      </c>
      <c r="BY23" s="117">
        <f t="shared" si="4"/>
        <v>0</v>
      </c>
      <c r="BZ23" s="120"/>
      <c r="CA23" s="120">
        <v>0</v>
      </c>
      <c r="CB23" s="120">
        <v>0</v>
      </c>
      <c r="CC23" s="120">
        <v>0</v>
      </c>
      <c r="CD23" s="120">
        <v>0</v>
      </c>
      <c r="CE23" s="120">
        <v>0</v>
      </c>
      <c r="CF23" s="120">
        <v>0</v>
      </c>
      <c r="CG23" s="120">
        <v>0</v>
      </c>
      <c r="CH23" s="120">
        <v>0</v>
      </c>
      <c r="CI23" s="120">
        <v>0</v>
      </c>
      <c r="CJ23" s="120">
        <v>0</v>
      </c>
      <c r="CK23" s="120">
        <v>0</v>
      </c>
      <c r="CL23" s="117">
        <f t="shared" si="5"/>
        <v>0</v>
      </c>
      <c r="CM23" s="120"/>
      <c r="CN23" s="120">
        <v>0</v>
      </c>
      <c r="CO23" s="120">
        <v>0</v>
      </c>
      <c r="CP23" s="120">
        <v>0</v>
      </c>
      <c r="CQ23" s="120">
        <v>0</v>
      </c>
      <c r="CR23" s="120">
        <v>0</v>
      </c>
      <c r="CS23" s="120">
        <v>0</v>
      </c>
      <c r="CT23" s="120">
        <v>0</v>
      </c>
      <c r="CU23" s="120">
        <v>0</v>
      </c>
      <c r="CV23" s="120">
        <v>0</v>
      </c>
      <c r="CW23" s="120">
        <v>0</v>
      </c>
      <c r="CX23" s="120">
        <v>0</v>
      </c>
      <c r="CY23" s="117">
        <f t="shared" si="6"/>
        <v>0</v>
      </c>
      <c r="CZ23" s="120"/>
      <c r="DA23" s="120">
        <v>0</v>
      </c>
      <c r="DB23" s="120">
        <v>0</v>
      </c>
      <c r="DC23" s="120">
        <v>0</v>
      </c>
      <c r="DD23" s="120">
        <v>0</v>
      </c>
      <c r="DE23" s="120">
        <v>0</v>
      </c>
      <c r="DF23" s="120">
        <v>0</v>
      </c>
      <c r="DG23" s="120">
        <v>0</v>
      </c>
      <c r="DH23" s="120">
        <v>0</v>
      </c>
      <c r="DI23" s="120">
        <v>0</v>
      </c>
      <c r="DJ23" s="120">
        <v>0</v>
      </c>
      <c r="DK23" s="120">
        <v>0</v>
      </c>
      <c r="DL23" s="117">
        <f t="shared" si="7"/>
        <v>0</v>
      </c>
      <c r="DM23" s="120"/>
      <c r="DN23" s="120">
        <v>0</v>
      </c>
      <c r="DO23" s="120">
        <v>0</v>
      </c>
      <c r="DP23" s="120">
        <v>0</v>
      </c>
      <c r="DQ23" s="120">
        <v>0</v>
      </c>
      <c r="DR23" s="120">
        <v>0</v>
      </c>
      <c r="DS23" s="120">
        <v>0</v>
      </c>
      <c r="DT23" s="120">
        <v>0</v>
      </c>
      <c r="DU23" s="120">
        <v>0</v>
      </c>
      <c r="DV23" s="120">
        <v>0</v>
      </c>
      <c r="DW23" s="120">
        <v>0</v>
      </c>
      <c r="DX23" s="120">
        <v>0</v>
      </c>
      <c r="DY23" s="117">
        <f t="shared" si="8"/>
        <v>0</v>
      </c>
      <c r="DZ23" s="116"/>
      <c r="EA23" s="121">
        <f t="shared" si="9"/>
        <v>13326</v>
      </c>
      <c r="EB23" s="121">
        <f t="shared" si="9"/>
        <v>13665</v>
      </c>
      <c r="EC23" s="121">
        <f t="shared" si="9"/>
        <v>14424</v>
      </c>
      <c r="ED23" s="116"/>
      <c r="EE23" s="121" t="str">
        <f t="shared" si="10"/>
        <v/>
      </c>
      <c r="EF23" s="118" t="str">
        <f t="shared" si="11"/>
        <v/>
      </c>
      <c r="EG23" s="118" t="str">
        <f t="shared" si="12"/>
        <v/>
      </c>
      <c r="EH23" s="116"/>
      <c r="EI23" s="120">
        <v>181829</v>
      </c>
      <c r="EJ23" s="120">
        <v>181829</v>
      </c>
      <c r="EK23" s="120">
        <v>0</v>
      </c>
      <c r="EL23" s="120">
        <v>0</v>
      </c>
      <c r="EM23" s="120">
        <v>0</v>
      </c>
      <c r="EN23" s="117">
        <f t="shared" si="13"/>
        <v>181829</v>
      </c>
      <c r="EO23" s="120">
        <v>183675</v>
      </c>
      <c r="EP23" s="120">
        <v>183675</v>
      </c>
      <c r="EQ23" s="120">
        <v>0</v>
      </c>
      <c r="ER23" s="120">
        <v>0</v>
      </c>
      <c r="ES23" s="120">
        <v>0</v>
      </c>
      <c r="ET23" s="117">
        <f t="shared" si="14"/>
        <v>183675</v>
      </c>
      <c r="EU23" s="120">
        <v>189588</v>
      </c>
      <c r="EV23" s="120">
        <v>189588</v>
      </c>
      <c r="EW23" s="120">
        <v>0</v>
      </c>
      <c r="EX23" s="120">
        <v>0</v>
      </c>
      <c r="EY23" s="120">
        <v>0</v>
      </c>
      <c r="EZ23" s="117">
        <f t="shared" si="15"/>
        <v>189588</v>
      </c>
    </row>
    <row r="24" spans="1:156" x14ac:dyDescent="0.4">
      <c r="A24" s="116" t="s">
        <v>28</v>
      </c>
      <c r="B24" s="119">
        <v>4057075</v>
      </c>
      <c r="C24" s="122" t="s">
        <v>28</v>
      </c>
      <c r="D24" s="120">
        <v>1167463</v>
      </c>
      <c r="E24" s="120">
        <v>585713</v>
      </c>
      <c r="F24" s="120">
        <v>0</v>
      </c>
      <c r="G24" s="120">
        <v>1022016</v>
      </c>
      <c r="H24" s="120">
        <v>473570</v>
      </c>
      <c r="I24" s="120">
        <v>0</v>
      </c>
      <c r="J24" s="120">
        <v>942731</v>
      </c>
      <c r="K24" s="120">
        <v>437144</v>
      </c>
      <c r="L24" s="120">
        <v>0</v>
      </c>
      <c r="M24" s="120"/>
      <c r="N24" s="120">
        <v>702986</v>
      </c>
      <c r="O24" s="120">
        <v>73670</v>
      </c>
      <c r="P24" s="120">
        <v>142463</v>
      </c>
      <c r="Q24" s="120">
        <v>0</v>
      </c>
      <c r="R24" s="120">
        <v>42662</v>
      </c>
      <c r="S24" s="120">
        <v>0</v>
      </c>
      <c r="T24" s="120">
        <v>0</v>
      </c>
      <c r="U24" s="120">
        <v>0</v>
      </c>
      <c r="V24" s="120">
        <v>12678</v>
      </c>
      <c r="W24" s="120">
        <v>44548</v>
      </c>
      <c r="X24" s="120">
        <v>86410</v>
      </c>
      <c r="Y24" s="117">
        <f t="shared" si="0"/>
        <v>151142</v>
      </c>
      <c r="Z24" s="120"/>
      <c r="AA24" s="120">
        <v>557604</v>
      </c>
      <c r="AB24" s="120">
        <v>64170</v>
      </c>
      <c r="AC24" s="120">
        <v>136516</v>
      </c>
      <c r="AD24" s="120">
        <v>0</v>
      </c>
      <c r="AE24" s="120">
        <v>39430</v>
      </c>
      <c r="AF24" s="120">
        <v>99</v>
      </c>
      <c r="AG24" s="120">
        <v>0</v>
      </c>
      <c r="AH24" s="120">
        <v>0</v>
      </c>
      <c r="AI24" s="120">
        <v>9016</v>
      </c>
      <c r="AJ24" s="120">
        <v>46406</v>
      </c>
      <c r="AK24" s="120">
        <v>87398</v>
      </c>
      <c r="AL24" s="117">
        <f t="shared" si="1"/>
        <v>174189</v>
      </c>
      <c r="AM24" s="120"/>
      <c r="AN24" s="120">
        <v>479297</v>
      </c>
      <c r="AO24" s="120">
        <v>58434</v>
      </c>
      <c r="AP24" s="120">
        <v>142059</v>
      </c>
      <c r="AQ24" s="120">
        <v>0</v>
      </c>
      <c r="AR24" s="120">
        <v>32862</v>
      </c>
      <c r="AS24" s="120">
        <v>99</v>
      </c>
      <c r="AT24" s="120">
        <v>0</v>
      </c>
      <c r="AU24" s="120">
        <v>0</v>
      </c>
      <c r="AV24" s="120">
        <v>8162</v>
      </c>
      <c r="AW24" s="120">
        <v>47876</v>
      </c>
      <c r="AX24" s="120">
        <v>86303</v>
      </c>
      <c r="AY24" s="117">
        <f t="shared" si="2"/>
        <v>183391</v>
      </c>
      <c r="AZ24" s="120"/>
      <c r="BA24" s="120">
        <v>412621</v>
      </c>
      <c r="BB24" s="120">
        <v>16774</v>
      </c>
      <c r="BC24" s="120">
        <v>42539</v>
      </c>
      <c r="BD24" s="120">
        <v>0</v>
      </c>
      <c r="BE24" s="120">
        <v>13806</v>
      </c>
      <c r="BF24" s="120">
        <v>0</v>
      </c>
      <c r="BG24" s="120">
        <v>0</v>
      </c>
      <c r="BH24" s="120">
        <v>0</v>
      </c>
      <c r="BI24" s="120">
        <v>5817</v>
      </c>
      <c r="BJ24" s="120">
        <v>5185</v>
      </c>
      <c r="BK24" s="120">
        <v>34992</v>
      </c>
      <c r="BL24" s="117">
        <f t="shared" si="3"/>
        <v>64349</v>
      </c>
      <c r="BM24" s="120"/>
      <c r="BN24" s="120">
        <v>307545</v>
      </c>
      <c r="BO24" s="120">
        <v>15968</v>
      </c>
      <c r="BP24" s="120">
        <v>40927</v>
      </c>
      <c r="BQ24" s="120">
        <v>0</v>
      </c>
      <c r="BR24" s="120">
        <v>13782</v>
      </c>
      <c r="BS24" s="120">
        <v>0</v>
      </c>
      <c r="BT24" s="120">
        <v>0</v>
      </c>
      <c r="BU24" s="120">
        <v>0</v>
      </c>
      <c r="BV24" s="120">
        <v>5809</v>
      </c>
      <c r="BW24" s="120">
        <v>6127</v>
      </c>
      <c r="BX24" s="120">
        <v>29511</v>
      </c>
      <c r="BY24" s="117">
        <f t="shared" si="4"/>
        <v>66155</v>
      </c>
      <c r="BZ24" s="120"/>
      <c r="CA24" s="120">
        <v>283285</v>
      </c>
      <c r="CB24" s="120">
        <v>16135</v>
      </c>
      <c r="CC24" s="120">
        <v>39242</v>
      </c>
      <c r="CD24" s="120">
        <v>0</v>
      </c>
      <c r="CE24" s="120">
        <v>11807</v>
      </c>
      <c r="CF24" s="120">
        <v>0</v>
      </c>
      <c r="CG24" s="120">
        <v>0</v>
      </c>
      <c r="CH24" s="120">
        <v>0</v>
      </c>
      <c r="CI24" s="120">
        <v>4291</v>
      </c>
      <c r="CJ24" s="120">
        <v>9348</v>
      </c>
      <c r="CK24" s="120">
        <v>28332</v>
      </c>
      <c r="CL24" s="117">
        <f t="shared" si="5"/>
        <v>63400</v>
      </c>
      <c r="CM24" s="120"/>
      <c r="CN24" s="120">
        <v>0</v>
      </c>
      <c r="CO24" s="120">
        <v>0</v>
      </c>
      <c r="CP24" s="120">
        <v>0</v>
      </c>
      <c r="CQ24" s="120">
        <v>0</v>
      </c>
      <c r="CR24" s="120">
        <v>0</v>
      </c>
      <c r="CS24" s="120">
        <v>0</v>
      </c>
      <c r="CT24" s="120">
        <v>0</v>
      </c>
      <c r="CU24" s="120">
        <v>0</v>
      </c>
      <c r="CV24" s="120">
        <v>0</v>
      </c>
      <c r="CW24" s="120">
        <v>0</v>
      </c>
      <c r="CX24" s="120">
        <v>0</v>
      </c>
      <c r="CY24" s="117">
        <f t="shared" si="6"/>
        <v>0</v>
      </c>
      <c r="CZ24" s="120"/>
      <c r="DA24" s="120">
        <v>0</v>
      </c>
      <c r="DB24" s="120">
        <v>0</v>
      </c>
      <c r="DC24" s="120">
        <v>0</v>
      </c>
      <c r="DD24" s="120">
        <v>0</v>
      </c>
      <c r="DE24" s="120">
        <v>0</v>
      </c>
      <c r="DF24" s="120">
        <v>0</v>
      </c>
      <c r="DG24" s="120">
        <v>0</v>
      </c>
      <c r="DH24" s="120">
        <v>0</v>
      </c>
      <c r="DI24" s="120">
        <v>0</v>
      </c>
      <c r="DJ24" s="120">
        <v>0</v>
      </c>
      <c r="DK24" s="120">
        <v>0</v>
      </c>
      <c r="DL24" s="117">
        <f t="shared" si="7"/>
        <v>0</v>
      </c>
      <c r="DM24" s="120"/>
      <c r="DN24" s="120">
        <v>0</v>
      </c>
      <c r="DO24" s="120">
        <v>0</v>
      </c>
      <c r="DP24" s="120">
        <v>0</v>
      </c>
      <c r="DQ24" s="120">
        <v>0</v>
      </c>
      <c r="DR24" s="120">
        <v>0</v>
      </c>
      <c r="DS24" s="120">
        <v>0</v>
      </c>
      <c r="DT24" s="120">
        <v>0</v>
      </c>
      <c r="DU24" s="120">
        <v>0</v>
      </c>
      <c r="DV24" s="120">
        <v>0</v>
      </c>
      <c r="DW24" s="120">
        <v>0</v>
      </c>
      <c r="DX24" s="120">
        <v>0</v>
      </c>
      <c r="DY24" s="117">
        <f t="shared" si="8"/>
        <v>0</v>
      </c>
      <c r="DZ24" s="116"/>
      <c r="EA24" s="121">
        <f t="shared" si="9"/>
        <v>215491</v>
      </c>
      <c r="EB24" s="121">
        <f t="shared" si="9"/>
        <v>240344</v>
      </c>
      <c r="EC24" s="121">
        <f t="shared" si="9"/>
        <v>246791</v>
      </c>
      <c r="ED24" s="116"/>
      <c r="EE24" s="121" t="str">
        <f t="shared" si="10"/>
        <v/>
      </c>
      <c r="EF24" s="118" t="str">
        <f t="shared" si="11"/>
        <v/>
      </c>
      <c r="EG24" s="118" t="str">
        <f t="shared" si="12"/>
        <v/>
      </c>
      <c r="EH24" s="116"/>
      <c r="EI24" s="120">
        <v>5008360</v>
      </c>
      <c r="EJ24" s="120">
        <v>3365708</v>
      </c>
      <c r="EK24" s="120">
        <v>1112710</v>
      </c>
      <c r="EL24" s="120">
        <v>0</v>
      </c>
      <c r="EM24" s="120">
        <v>529941</v>
      </c>
      <c r="EN24" s="117">
        <f t="shared" si="13"/>
        <v>4478418</v>
      </c>
      <c r="EO24" s="120">
        <v>4803923</v>
      </c>
      <c r="EP24" s="120">
        <v>3222813</v>
      </c>
      <c r="EQ24" s="120">
        <v>1046634</v>
      </c>
      <c r="ER24" s="120">
        <v>0</v>
      </c>
      <c r="ES24" s="120">
        <v>534476</v>
      </c>
      <c r="ET24" s="117">
        <f t="shared" si="14"/>
        <v>4269447</v>
      </c>
      <c r="EU24" s="120">
        <v>4591438</v>
      </c>
      <c r="EV24" s="120">
        <v>3053433</v>
      </c>
      <c r="EW24" s="120">
        <v>993015</v>
      </c>
      <c r="EX24" s="120">
        <v>0</v>
      </c>
      <c r="EY24" s="120">
        <v>544990</v>
      </c>
      <c r="EZ24" s="117">
        <f t="shared" si="15"/>
        <v>4046448</v>
      </c>
    </row>
    <row r="25" spans="1:156" x14ac:dyDescent="0.4">
      <c r="A25" s="116" t="s">
        <v>328</v>
      </c>
      <c r="B25" s="119">
        <v>4056995</v>
      </c>
      <c r="C25" s="116" t="s">
        <v>46</v>
      </c>
      <c r="D25" s="120">
        <v>2656997</v>
      </c>
      <c r="E25" s="120">
        <v>0</v>
      </c>
      <c r="F25" s="120">
        <v>0</v>
      </c>
      <c r="G25" s="120">
        <v>2338590</v>
      </c>
      <c r="H25" s="120">
        <v>0</v>
      </c>
      <c r="I25" s="120">
        <v>0</v>
      </c>
      <c r="J25" s="120">
        <v>2078285</v>
      </c>
      <c r="K25" s="120">
        <v>0</v>
      </c>
      <c r="L25" s="120">
        <v>0</v>
      </c>
      <c r="M25" s="120"/>
      <c r="N25" s="120">
        <v>1385138</v>
      </c>
      <c r="O25" s="120">
        <v>262465</v>
      </c>
      <c r="P25" s="120">
        <v>325418</v>
      </c>
      <c r="Q25" s="120">
        <v>10003</v>
      </c>
      <c r="R25" s="120">
        <v>44808</v>
      </c>
      <c r="S25" s="120">
        <v>2502</v>
      </c>
      <c r="T25" s="120">
        <v>3542</v>
      </c>
      <c r="U25" s="120">
        <v>0</v>
      </c>
      <c r="V25" s="120">
        <v>2660</v>
      </c>
      <c r="W25" s="120">
        <v>99902</v>
      </c>
      <c r="X25" s="120">
        <v>134833</v>
      </c>
      <c r="Y25" s="117">
        <f t="shared" si="0"/>
        <v>585530</v>
      </c>
      <c r="Z25" s="120"/>
      <c r="AA25" s="120">
        <v>1151958</v>
      </c>
      <c r="AB25" s="120">
        <v>221570</v>
      </c>
      <c r="AC25" s="120">
        <v>309183</v>
      </c>
      <c r="AD25" s="120">
        <v>9997</v>
      </c>
      <c r="AE25" s="120">
        <v>40109</v>
      </c>
      <c r="AF25" s="120">
        <v>2502</v>
      </c>
      <c r="AG25" s="120">
        <v>3542</v>
      </c>
      <c r="AH25" s="120">
        <v>0</v>
      </c>
      <c r="AI25" s="120">
        <v>64237</v>
      </c>
      <c r="AJ25" s="120">
        <v>78603</v>
      </c>
      <c r="AK25" s="120">
        <v>126808</v>
      </c>
      <c r="AL25" s="117">
        <f t="shared" si="1"/>
        <v>487287</v>
      </c>
      <c r="AM25" s="120"/>
      <c r="AN25" s="120">
        <v>962761</v>
      </c>
      <c r="AO25" s="120">
        <v>233633</v>
      </c>
      <c r="AP25" s="120">
        <v>291818</v>
      </c>
      <c r="AQ25" s="120">
        <v>9991</v>
      </c>
      <c r="AR25" s="120">
        <v>33734</v>
      </c>
      <c r="AS25" s="120">
        <v>2502</v>
      </c>
      <c r="AT25" s="120">
        <v>3542</v>
      </c>
      <c r="AU25" s="120">
        <v>0</v>
      </c>
      <c r="AV25" s="120">
        <v>62520</v>
      </c>
      <c r="AW25" s="120">
        <v>107227</v>
      </c>
      <c r="AX25" s="120">
        <v>120669</v>
      </c>
      <c r="AY25" s="117">
        <f t="shared" si="2"/>
        <v>464342</v>
      </c>
      <c r="AZ25" s="120"/>
      <c r="BA25" s="120">
        <v>0</v>
      </c>
      <c r="BB25" s="120">
        <v>0</v>
      </c>
      <c r="BC25" s="120">
        <v>0</v>
      </c>
      <c r="BD25" s="120">
        <v>0</v>
      </c>
      <c r="BE25" s="120">
        <v>0</v>
      </c>
      <c r="BF25" s="120">
        <v>0</v>
      </c>
      <c r="BG25" s="120">
        <v>0</v>
      </c>
      <c r="BH25" s="120">
        <v>0</v>
      </c>
      <c r="BI25" s="120">
        <v>0</v>
      </c>
      <c r="BJ25" s="120">
        <v>0</v>
      </c>
      <c r="BK25" s="120">
        <v>0</v>
      </c>
      <c r="BL25" s="117">
        <f t="shared" si="3"/>
        <v>0</v>
      </c>
      <c r="BM25" s="120"/>
      <c r="BN25" s="120">
        <v>0</v>
      </c>
      <c r="BO25" s="120">
        <v>0</v>
      </c>
      <c r="BP25" s="120">
        <v>0</v>
      </c>
      <c r="BQ25" s="120">
        <v>0</v>
      </c>
      <c r="BR25" s="120">
        <v>0</v>
      </c>
      <c r="BS25" s="120">
        <v>0</v>
      </c>
      <c r="BT25" s="120">
        <v>0</v>
      </c>
      <c r="BU25" s="120">
        <v>0</v>
      </c>
      <c r="BV25" s="120">
        <v>0</v>
      </c>
      <c r="BW25" s="120">
        <v>0</v>
      </c>
      <c r="BX25" s="120">
        <v>0</v>
      </c>
      <c r="BY25" s="117">
        <f t="shared" si="4"/>
        <v>0</v>
      </c>
      <c r="BZ25" s="120"/>
      <c r="CA25" s="120">
        <v>0</v>
      </c>
      <c r="CB25" s="120">
        <v>0</v>
      </c>
      <c r="CC25" s="120">
        <v>0</v>
      </c>
      <c r="CD25" s="120">
        <v>0</v>
      </c>
      <c r="CE25" s="120">
        <v>0</v>
      </c>
      <c r="CF25" s="120">
        <v>0</v>
      </c>
      <c r="CG25" s="120">
        <v>0</v>
      </c>
      <c r="CH25" s="120">
        <v>0</v>
      </c>
      <c r="CI25" s="120">
        <v>0</v>
      </c>
      <c r="CJ25" s="120">
        <v>0</v>
      </c>
      <c r="CK25" s="120">
        <v>0</v>
      </c>
      <c r="CL25" s="117">
        <f t="shared" si="5"/>
        <v>0</v>
      </c>
      <c r="CM25" s="120"/>
      <c r="CN25" s="120">
        <v>0</v>
      </c>
      <c r="CO25" s="120">
        <v>0</v>
      </c>
      <c r="CP25" s="120">
        <v>0</v>
      </c>
      <c r="CQ25" s="120">
        <v>0</v>
      </c>
      <c r="CR25" s="120">
        <v>0</v>
      </c>
      <c r="CS25" s="120">
        <v>0</v>
      </c>
      <c r="CT25" s="120">
        <v>0</v>
      </c>
      <c r="CU25" s="120">
        <v>0</v>
      </c>
      <c r="CV25" s="120">
        <v>0</v>
      </c>
      <c r="CW25" s="120">
        <v>0</v>
      </c>
      <c r="CX25" s="120">
        <v>0</v>
      </c>
      <c r="CY25" s="117">
        <f t="shared" si="6"/>
        <v>0</v>
      </c>
      <c r="CZ25" s="120"/>
      <c r="DA25" s="120">
        <v>0</v>
      </c>
      <c r="DB25" s="120">
        <v>0</v>
      </c>
      <c r="DC25" s="120">
        <v>0</v>
      </c>
      <c r="DD25" s="120">
        <v>0</v>
      </c>
      <c r="DE25" s="120">
        <v>0</v>
      </c>
      <c r="DF25" s="120">
        <v>0</v>
      </c>
      <c r="DG25" s="120">
        <v>0</v>
      </c>
      <c r="DH25" s="120">
        <v>0</v>
      </c>
      <c r="DI25" s="120">
        <v>0</v>
      </c>
      <c r="DJ25" s="120">
        <v>0</v>
      </c>
      <c r="DK25" s="120">
        <v>0</v>
      </c>
      <c r="DL25" s="117">
        <f t="shared" si="7"/>
        <v>0</v>
      </c>
      <c r="DM25" s="120"/>
      <c r="DN25" s="120">
        <v>0</v>
      </c>
      <c r="DO25" s="120">
        <v>0</v>
      </c>
      <c r="DP25" s="120">
        <v>0</v>
      </c>
      <c r="DQ25" s="120">
        <v>0</v>
      </c>
      <c r="DR25" s="120">
        <v>0</v>
      </c>
      <c r="DS25" s="120">
        <v>0</v>
      </c>
      <c r="DT25" s="120">
        <v>0</v>
      </c>
      <c r="DU25" s="120">
        <v>0</v>
      </c>
      <c r="DV25" s="120">
        <v>0</v>
      </c>
      <c r="DW25" s="120">
        <v>0</v>
      </c>
      <c r="DX25" s="120">
        <v>0</v>
      </c>
      <c r="DY25" s="117">
        <f t="shared" si="8"/>
        <v>0</v>
      </c>
      <c r="DZ25" s="116"/>
      <c r="EA25" s="121">
        <f t="shared" si="9"/>
        <v>585530</v>
      </c>
      <c r="EB25" s="121">
        <f t="shared" si="9"/>
        <v>487287</v>
      </c>
      <c r="EC25" s="121">
        <f t="shared" si="9"/>
        <v>464342</v>
      </c>
      <c r="ED25" s="116"/>
      <c r="EE25" s="121" t="str">
        <f t="shared" si="10"/>
        <v/>
      </c>
      <c r="EF25" s="118" t="str">
        <f t="shared" si="11"/>
        <v/>
      </c>
      <c r="EG25" s="118" t="str">
        <f t="shared" si="12"/>
        <v/>
      </c>
      <c r="EH25" s="116"/>
      <c r="EI25" s="120">
        <v>8906864</v>
      </c>
      <c r="EJ25" s="120">
        <v>8906864</v>
      </c>
      <c r="EK25" s="120">
        <v>0</v>
      </c>
      <c r="EL25" s="120">
        <v>0</v>
      </c>
      <c r="EM25" s="120">
        <v>0</v>
      </c>
      <c r="EN25" s="117">
        <f t="shared" si="13"/>
        <v>8906864</v>
      </c>
      <c r="EO25" s="120">
        <v>8440188</v>
      </c>
      <c r="EP25" s="120">
        <v>8440188</v>
      </c>
      <c r="EQ25" s="120">
        <v>0</v>
      </c>
      <c r="ER25" s="120">
        <v>0</v>
      </c>
      <c r="ES25" s="120">
        <v>0</v>
      </c>
      <c r="ET25" s="117">
        <f t="shared" si="14"/>
        <v>8440188</v>
      </c>
      <c r="EU25" s="120">
        <v>8101686</v>
      </c>
      <c r="EV25" s="120">
        <v>8101686</v>
      </c>
      <c r="EW25" s="120">
        <v>0</v>
      </c>
      <c r="EX25" s="120">
        <v>0</v>
      </c>
      <c r="EY25" s="120">
        <v>0</v>
      </c>
      <c r="EZ25" s="117">
        <f t="shared" si="15"/>
        <v>8101686</v>
      </c>
    </row>
    <row r="26" spans="1:156" x14ac:dyDescent="0.4">
      <c r="A26" s="116" t="s">
        <v>329</v>
      </c>
      <c r="B26" s="119">
        <v>4112564</v>
      </c>
      <c r="C26" s="116" t="s">
        <v>46</v>
      </c>
      <c r="D26" s="120">
        <v>6246933</v>
      </c>
      <c r="E26" s="120">
        <v>91835</v>
      </c>
      <c r="F26" s="120">
        <v>0</v>
      </c>
      <c r="G26" s="120">
        <v>4982744</v>
      </c>
      <c r="H26" s="120">
        <v>73989</v>
      </c>
      <c r="I26" s="120">
        <v>0</v>
      </c>
      <c r="J26" s="120">
        <v>3995299</v>
      </c>
      <c r="K26" s="120">
        <v>50799</v>
      </c>
      <c r="L26" s="120">
        <v>0</v>
      </c>
      <c r="M26" s="120"/>
      <c r="N26" s="120">
        <v>3926263</v>
      </c>
      <c r="O26" s="120">
        <v>325307</v>
      </c>
      <c r="P26" s="120">
        <v>598119</v>
      </c>
      <c r="Q26" s="120">
        <v>13370</v>
      </c>
      <c r="R26" s="120">
        <v>68366</v>
      </c>
      <c r="S26" s="120">
        <v>4417</v>
      </c>
      <c r="T26" s="120">
        <v>5010</v>
      </c>
      <c r="U26" s="120">
        <v>0</v>
      </c>
      <c r="V26" s="120">
        <v>305188</v>
      </c>
      <c r="W26" s="120">
        <v>160106</v>
      </c>
      <c r="X26" s="120">
        <v>235062</v>
      </c>
      <c r="Y26" s="117">
        <f t="shared" si="0"/>
        <v>925937</v>
      </c>
      <c r="Z26" s="120"/>
      <c r="AA26" s="120">
        <v>2854903</v>
      </c>
      <c r="AB26" s="120">
        <v>295271</v>
      </c>
      <c r="AC26" s="120">
        <v>566335</v>
      </c>
      <c r="AD26" s="120">
        <v>13286</v>
      </c>
      <c r="AE26" s="120">
        <v>60780</v>
      </c>
      <c r="AF26" s="120">
        <v>4417</v>
      </c>
      <c r="AG26" s="120">
        <v>5010</v>
      </c>
      <c r="AH26" s="120">
        <v>0</v>
      </c>
      <c r="AI26" s="120">
        <v>120668</v>
      </c>
      <c r="AJ26" s="120">
        <v>96548</v>
      </c>
      <c r="AK26" s="120">
        <v>218244</v>
      </c>
      <c r="AL26" s="117">
        <f t="shared" si="1"/>
        <v>940378</v>
      </c>
      <c r="AM26" s="120"/>
      <c r="AN26" s="120">
        <v>2049763</v>
      </c>
      <c r="AO26" s="120">
        <v>273515</v>
      </c>
      <c r="AP26" s="120">
        <v>529511</v>
      </c>
      <c r="AQ26" s="120">
        <v>13286</v>
      </c>
      <c r="AR26" s="120">
        <v>52176</v>
      </c>
      <c r="AS26" s="120">
        <v>4417</v>
      </c>
      <c r="AT26" s="120">
        <v>5010</v>
      </c>
      <c r="AU26" s="120">
        <v>0</v>
      </c>
      <c r="AV26" s="120">
        <v>99760</v>
      </c>
      <c r="AW26" s="120">
        <v>125857</v>
      </c>
      <c r="AX26" s="120">
        <v>203556</v>
      </c>
      <c r="AY26" s="117">
        <f t="shared" si="2"/>
        <v>890162</v>
      </c>
      <c r="AZ26" s="120"/>
      <c r="BA26" s="120">
        <v>65645</v>
      </c>
      <c r="BB26" s="120">
        <v>2305</v>
      </c>
      <c r="BC26" s="120">
        <v>8604</v>
      </c>
      <c r="BD26" s="120">
        <v>0</v>
      </c>
      <c r="BE26" s="120">
        <v>1514</v>
      </c>
      <c r="BF26" s="120">
        <v>0</v>
      </c>
      <c r="BG26" s="120">
        <v>44</v>
      </c>
      <c r="BH26" s="120">
        <v>0</v>
      </c>
      <c r="BI26" s="120">
        <v>893</v>
      </c>
      <c r="BJ26" s="120">
        <v>263</v>
      </c>
      <c r="BK26" s="120">
        <v>6846</v>
      </c>
      <c r="BL26" s="117">
        <f t="shared" si="3"/>
        <v>6247</v>
      </c>
      <c r="BM26" s="120"/>
      <c r="BN26" s="120">
        <v>47381</v>
      </c>
      <c r="BO26" s="120">
        <v>2081</v>
      </c>
      <c r="BP26" s="120">
        <v>8619</v>
      </c>
      <c r="BQ26" s="120">
        <v>0</v>
      </c>
      <c r="BR26" s="120">
        <v>1435</v>
      </c>
      <c r="BS26" s="120">
        <v>0</v>
      </c>
      <c r="BT26" s="120">
        <v>44</v>
      </c>
      <c r="BU26" s="120">
        <v>0</v>
      </c>
      <c r="BV26" s="120">
        <v>385</v>
      </c>
      <c r="BW26" s="120">
        <v>749</v>
      </c>
      <c r="BX26" s="120">
        <v>5835</v>
      </c>
      <c r="BY26" s="117">
        <f t="shared" si="4"/>
        <v>8958</v>
      </c>
      <c r="BZ26" s="120"/>
      <c r="CA26" s="120">
        <v>32281</v>
      </c>
      <c r="CB26" s="120">
        <v>1924</v>
      </c>
      <c r="CC26" s="120">
        <v>7802</v>
      </c>
      <c r="CD26" s="120">
        <v>0</v>
      </c>
      <c r="CE26" s="120">
        <v>897</v>
      </c>
      <c r="CF26" s="120">
        <v>0</v>
      </c>
      <c r="CG26" s="120">
        <v>44</v>
      </c>
      <c r="CH26" s="120">
        <v>0</v>
      </c>
      <c r="CI26" s="120">
        <v>396</v>
      </c>
      <c r="CJ26" s="120">
        <v>550</v>
      </c>
      <c r="CK26" s="120">
        <v>5346</v>
      </c>
      <c r="CL26" s="117">
        <f t="shared" si="5"/>
        <v>2659</v>
      </c>
      <c r="CM26" s="120"/>
      <c r="CN26" s="120">
        <v>0</v>
      </c>
      <c r="CO26" s="120">
        <v>0</v>
      </c>
      <c r="CP26" s="120">
        <v>0</v>
      </c>
      <c r="CQ26" s="120">
        <v>0</v>
      </c>
      <c r="CR26" s="120">
        <v>0</v>
      </c>
      <c r="CS26" s="120">
        <v>0</v>
      </c>
      <c r="CT26" s="120">
        <v>0</v>
      </c>
      <c r="CU26" s="120">
        <v>0</v>
      </c>
      <c r="CV26" s="120">
        <v>0</v>
      </c>
      <c r="CW26" s="120">
        <v>0</v>
      </c>
      <c r="CX26" s="120">
        <v>0</v>
      </c>
      <c r="CY26" s="117">
        <f t="shared" si="6"/>
        <v>0</v>
      </c>
      <c r="CZ26" s="120"/>
      <c r="DA26" s="120">
        <v>0</v>
      </c>
      <c r="DB26" s="120">
        <v>0</v>
      </c>
      <c r="DC26" s="120">
        <v>0</v>
      </c>
      <c r="DD26" s="120">
        <v>0</v>
      </c>
      <c r="DE26" s="120">
        <v>0</v>
      </c>
      <c r="DF26" s="120">
        <v>0</v>
      </c>
      <c r="DG26" s="120">
        <v>0</v>
      </c>
      <c r="DH26" s="120">
        <v>0</v>
      </c>
      <c r="DI26" s="120">
        <v>0</v>
      </c>
      <c r="DJ26" s="120">
        <v>0</v>
      </c>
      <c r="DK26" s="120">
        <v>0</v>
      </c>
      <c r="DL26" s="117">
        <f t="shared" si="7"/>
        <v>0</v>
      </c>
      <c r="DM26" s="120"/>
      <c r="DN26" s="120">
        <v>0</v>
      </c>
      <c r="DO26" s="120">
        <v>0</v>
      </c>
      <c r="DP26" s="120">
        <v>0</v>
      </c>
      <c r="DQ26" s="120">
        <v>0</v>
      </c>
      <c r="DR26" s="120">
        <v>0</v>
      </c>
      <c r="DS26" s="120">
        <v>0</v>
      </c>
      <c r="DT26" s="120">
        <v>0</v>
      </c>
      <c r="DU26" s="120">
        <v>0</v>
      </c>
      <c r="DV26" s="120">
        <v>0</v>
      </c>
      <c r="DW26" s="120">
        <v>0</v>
      </c>
      <c r="DX26" s="120">
        <v>0</v>
      </c>
      <c r="DY26" s="117">
        <f t="shared" si="8"/>
        <v>0</v>
      </c>
      <c r="DZ26" s="116"/>
      <c r="EA26" s="121">
        <f t="shared" si="9"/>
        <v>932184</v>
      </c>
      <c r="EB26" s="121">
        <f t="shared" si="9"/>
        <v>949336</v>
      </c>
      <c r="EC26" s="121">
        <f t="shared" si="9"/>
        <v>892821</v>
      </c>
      <c r="ED26" s="116"/>
      <c r="EE26" s="121" t="str">
        <f t="shared" si="10"/>
        <v/>
      </c>
      <c r="EF26" s="118" t="str">
        <f t="shared" si="11"/>
        <v/>
      </c>
      <c r="EG26" s="118" t="str">
        <f t="shared" si="12"/>
        <v/>
      </c>
      <c r="EH26" s="116"/>
      <c r="EI26" s="120">
        <v>18896094</v>
      </c>
      <c r="EJ26" s="120">
        <v>18725747</v>
      </c>
      <c r="EK26" s="120">
        <v>170347</v>
      </c>
      <c r="EL26" s="120">
        <v>0</v>
      </c>
      <c r="EM26" s="120">
        <v>0</v>
      </c>
      <c r="EN26" s="117">
        <f t="shared" si="13"/>
        <v>18896094</v>
      </c>
      <c r="EO26" s="120">
        <v>20195205</v>
      </c>
      <c r="EP26" s="120">
        <v>20035085</v>
      </c>
      <c r="EQ26" s="120">
        <v>160121</v>
      </c>
      <c r="ER26" s="120">
        <v>0</v>
      </c>
      <c r="ES26" s="120">
        <v>0</v>
      </c>
      <c r="ET26" s="117">
        <f t="shared" si="14"/>
        <v>20195206</v>
      </c>
      <c r="EU26" s="120">
        <v>17493704</v>
      </c>
      <c r="EV26" s="120">
        <v>17348039</v>
      </c>
      <c r="EW26" s="120">
        <v>145665</v>
      </c>
      <c r="EX26" s="120">
        <v>0</v>
      </c>
      <c r="EY26" s="120">
        <v>0</v>
      </c>
      <c r="EZ26" s="117">
        <f t="shared" si="15"/>
        <v>17493704</v>
      </c>
    </row>
    <row r="27" spans="1:156" x14ac:dyDescent="0.4">
      <c r="A27" s="116" t="s">
        <v>330</v>
      </c>
      <c r="B27" s="119">
        <v>4008616</v>
      </c>
      <c r="C27" s="116" t="s">
        <v>46</v>
      </c>
      <c r="D27" s="120">
        <v>1622376</v>
      </c>
      <c r="E27" s="120">
        <v>0</v>
      </c>
      <c r="F27" s="120">
        <v>0</v>
      </c>
      <c r="G27" s="120">
        <v>1406346</v>
      </c>
      <c r="H27" s="120">
        <v>0</v>
      </c>
      <c r="I27" s="120">
        <v>0</v>
      </c>
      <c r="J27" s="120">
        <v>1247855</v>
      </c>
      <c r="K27" s="120">
        <v>0</v>
      </c>
      <c r="L27" s="120">
        <v>0</v>
      </c>
      <c r="M27" s="120"/>
      <c r="N27" s="120">
        <v>800037</v>
      </c>
      <c r="O27" s="120">
        <v>94799</v>
      </c>
      <c r="P27" s="120">
        <v>219099</v>
      </c>
      <c r="Q27" s="120">
        <v>11</v>
      </c>
      <c r="R27" s="120">
        <v>23210</v>
      </c>
      <c r="S27" s="120">
        <v>2681</v>
      </c>
      <c r="T27" s="120">
        <v>0</v>
      </c>
      <c r="U27" s="120">
        <v>0</v>
      </c>
      <c r="V27" s="120">
        <v>136048</v>
      </c>
      <c r="W27" s="120">
        <v>119435</v>
      </c>
      <c r="X27" s="120">
        <v>137540</v>
      </c>
      <c r="Y27" s="117">
        <f t="shared" si="0"/>
        <v>328386</v>
      </c>
      <c r="Z27" s="120"/>
      <c r="AA27" s="120">
        <v>697589</v>
      </c>
      <c r="AB27" s="120">
        <v>84692</v>
      </c>
      <c r="AC27" s="120">
        <v>202918</v>
      </c>
      <c r="AD27" s="120">
        <v>11</v>
      </c>
      <c r="AE27" s="120">
        <v>20509</v>
      </c>
      <c r="AF27" s="120">
        <v>2722</v>
      </c>
      <c r="AG27" s="120">
        <v>0</v>
      </c>
      <c r="AH27" s="120">
        <v>0</v>
      </c>
      <c r="AI27" s="120">
        <v>57132</v>
      </c>
      <c r="AJ27" s="120">
        <v>51219</v>
      </c>
      <c r="AK27" s="120">
        <v>111712</v>
      </c>
      <c r="AL27" s="117">
        <f t="shared" si="1"/>
        <v>280280</v>
      </c>
      <c r="AM27" s="120"/>
      <c r="AN27" s="120">
        <v>639716</v>
      </c>
      <c r="AO27" s="120">
        <v>81441</v>
      </c>
      <c r="AP27" s="120">
        <v>188962</v>
      </c>
      <c r="AQ27" s="120">
        <v>10</v>
      </c>
      <c r="AR27" s="120">
        <v>17001</v>
      </c>
      <c r="AS27" s="120">
        <v>2764</v>
      </c>
      <c r="AT27" s="120">
        <v>0</v>
      </c>
      <c r="AU27" s="120">
        <v>0</v>
      </c>
      <c r="AV27" s="120">
        <v>10034</v>
      </c>
      <c r="AW27" s="120">
        <v>25253</v>
      </c>
      <c r="AX27" s="120">
        <v>101525</v>
      </c>
      <c r="AY27" s="117">
        <f t="shared" si="2"/>
        <v>231655</v>
      </c>
      <c r="AZ27" s="120"/>
      <c r="BA27" s="120">
        <v>0</v>
      </c>
      <c r="BB27" s="120">
        <v>0</v>
      </c>
      <c r="BC27" s="120">
        <v>0</v>
      </c>
      <c r="BD27" s="120">
        <v>0</v>
      </c>
      <c r="BE27" s="120">
        <v>0</v>
      </c>
      <c r="BF27" s="120">
        <v>0</v>
      </c>
      <c r="BG27" s="120">
        <v>0</v>
      </c>
      <c r="BH27" s="120">
        <v>0</v>
      </c>
      <c r="BI27" s="120">
        <v>0</v>
      </c>
      <c r="BJ27" s="120">
        <v>0</v>
      </c>
      <c r="BK27" s="120">
        <v>0</v>
      </c>
      <c r="BL27" s="117">
        <f t="shared" si="3"/>
        <v>0</v>
      </c>
      <c r="BM27" s="120"/>
      <c r="BN27" s="120">
        <v>0</v>
      </c>
      <c r="BO27" s="120">
        <v>0</v>
      </c>
      <c r="BP27" s="120">
        <v>0</v>
      </c>
      <c r="BQ27" s="120">
        <v>0</v>
      </c>
      <c r="BR27" s="120">
        <v>0</v>
      </c>
      <c r="BS27" s="120">
        <v>0</v>
      </c>
      <c r="BT27" s="120">
        <v>0</v>
      </c>
      <c r="BU27" s="120">
        <v>0</v>
      </c>
      <c r="BV27" s="120">
        <v>0</v>
      </c>
      <c r="BW27" s="120">
        <v>0</v>
      </c>
      <c r="BX27" s="120">
        <v>0</v>
      </c>
      <c r="BY27" s="117">
        <f t="shared" si="4"/>
        <v>0</v>
      </c>
      <c r="BZ27" s="120"/>
      <c r="CA27" s="120">
        <v>0</v>
      </c>
      <c r="CB27" s="120">
        <v>0</v>
      </c>
      <c r="CC27" s="120">
        <v>0</v>
      </c>
      <c r="CD27" s="120">
        <v>0</v>
      </c>
      <c r="CE27" s="120">
        <v>0</v>
      </c>
      <c r="CF27" s="120">
        <v>0</v>
      </c>
      <c r="CG27" s="120">
        <v>0</v>
      </c>
      <c r="CH27" s="120">
        <v>0</v>
      </c>
      <c r="CI27" s="120">
        <v>0</v>
      </c>
      <c r="CJ27" s="120">
        <v>0</v>
      </c>
      <c r="CK27" s="120">
        <v>0</v>
      </c>
      <c r="CL27" s="117">
        <f t="shared" si="5"/>
        <v>0</v>
      </c>
      <c r="CM27" s="120"/>
      <c r="CN27" s="120">
        <v>0</v>
      </c>
      <c r="CO27" s="120">
        <v>0</v>
      </c>
      <c r="CP27" s="120">
        <v>0</v>
      </c>
      <c r="CQ27" s="120">
        <v>0</v>
      </c>
      <c r="CR27" s="120">
        <v>0</v>
      </c>
      <c r="CS27" s="120">
        <v>0</v>
      </c>
      <c r="CT27" s="120">
        <v>0</v>
      </c>
      <c r="CU27" s="120">
        <v>0</v>
      </c>
      <c r="CV27" s="120">
        <v>0</v>
      </c>
      <c r="CW27" s="120">
        <v>0</v>
      </c>
      <c r="CX27" s="120">
        <v>0</v>
      </c>
      <c r="CY27" s="117">
        <f t="shared" si="6"/>
        <v>0</v>
      </c>
      <c r="CZ27" s="120"/>
      <c r="DA27" s="120">
        <v>0</v>
      </c>
      <c r="DB27" s="120">
        <v>0</v>
      </c>
      <c r="DC27" s="120">
        <v>0</v>
      </c>
      <c r="DD27" s="120">
        <v>0</v>
      </c>
      <c r="DE27" s="120">
        <v>0</v>
      </c>
      <c r="DF27" s="120">
        <v>0</v>
      </c>
      <c r="DG27" s="120">
        <v>0</v>
      </c>
      <c r="DH27" s="120">
        <v>0</v>
      </c>
      <c r="DI27" s="120">
        <v>0</v>
      </c>
      <c r="DJ27" s="120">
        <v>0</v>
      </c>
      <c r="DK27" s="120">
        <v>0</v>
      </c>
      <c r="DL27" s="117">
        <f t="shared" si="7"/>
        <v>0</v>
      </c>
      <c r="DM27" s="120"/>
      <c r="DN27" s="120">
        <v>0</v>
      </c>
      <c r="DO27" s="120">
        <v>0</v>
      </c>
      <c r="DP27" s="120">
        <v>0</v>
      </c>
      <c r="DQ27" s="120">
        <v>0</v>
      </c>
      <c r="DR27" s="120">
        <v>0</v>
      </c>
      <c r="DS27" s="120">
        <v>0</v>
      </c>
      <c r="DT27" s="120">
        <v>0</v>
      </c>
      <c r="DU27" s="120">
        <v>0</v>
      </c>
      <c r="DV27" s="120">
        <v>0</v>
      </c>
      <c r="DW27" s="120">
        <v>0</v>
      </c>
      <c r="DX27" s="120">
        <v>0</v>
      </c>
      <c r="DY27" s="117">
        <f t="shared" si="8"/>
        <v>0</v>
      </c>
      <c r="DZ27" s="116"/>
      <c r="EA27" s="121">
        <f t="shared" si="9"/>
        <v>328386</v>
      </c>
      <c r="EB27" s="121">
        <f t="shared" si="9"/>
        <v>280280</v>
      </c>
      <c r="EC27" s="121">
        <f t="shared" si="9"/>
        <v>231655</v>
      </c>
      <c r="ED27" s="116"/>
      <c r="EE27" s="121" t="str">
        <f t="shared" si="10"/>
        <v/>
      </c>
      <c r="EF27" s="118" t="str">
        <f t="shared" si="11"/>
        <v/>
      </c>
      <c r="EG27" s="118" t="str">
        <f t="shared" si="12"/>
        <v/>
      </c>
      <c r="EH27" s="116"/>
      <c r="EI27" s="120">
        <v>5012883</v>
      </c>
      <c r="EJ27" s="120">
        <v>5012883</v>
      </c>
      <c r="EK27" s="120">
        <v>0</v>
      </c>
      <c r="EL27" s="120">
        <v>0</v>
      </c>
      <c r="EM27" s="120">
        <v>0</v>
      </c>
      <c r="EN27" s="117">
        <f t="shared" si="13"/>
        <v>5012883</v>
      </c>
      <c r="EO27" s="120">
        <v>4721462</v>
      </c>
      <c r="EP27" s="120">
        <v>4721462</v>
      </c>
      <c r="EQ27" s="120">
        <v>0</v>
      </c>
      <c r="ER27" s="120">
        <v>0</v>
      </c>
      <c r="ES27" s="120">
        <v>0</v>
      </c>
      <c r="ET27" s="117">
        <f t="shared" si="14"/>
        <v>4721462</v>
      </c>
      <c r="EU27" s="120">
        <v>4324056</v>
      </c>
      <c r="EV27" s="120">
        <v>4324056</v>
      </c>
      <c r="EW27" s="120">
        <v>0</v>
      </c>
      <c r="EX27" s="120">
        <v>0</v>
      </c>
      <c r="EY27" s="120">
        <v>0</v>
      </c>
      <c r="EZ27" s="117">
        <f t="shared" si="15"/>
        <v>4324056</v>
      </c>
    </row>
    <row r="28" spans="1:156" x14ac:dyDescent="0.4">
      <c r="A28" s="116" t="s">
        <v>331</v>
      </c>
      <c r="B28" s="119">
        <v>4057085</v>
      </c>
      <c r="C28" s="116" t="s">
        <v>46</v>
      </c>
      <c r="D28" s="120">
        <v>842056</v>
      </c>
      <c r="E28" s="120">
        <v>142406</v>
      </c>
      <c r="F28" s="120">
        <v>0</v>
      </c>
      <c r="G28" s="120">
        <v>661141</v>
      </c>
      <c r="H28" s="120">
        <v>96835</v>
      </c>
      <c r="I28" s="120">
        <v>0</v>
      </c>
      <c r="J28" s="120">
        <v>545037</v>
      </c>
      <c r="K28" s="120">
        <v>73369</v>
      </c>
      <c r="L28" s="120">
        <v>0</v>
      </c>
      <c r="M28" s="120"/>
      <c r="N28" s="120">
        <v>597501</v>
      </c>
      <c r="O28" s="120">
        <v>17266</v>
      </c>
      <c r="P28" s="120">
        <v>54282</v>
      </c>
      <c r="Q28" s="120">
        <v>-2</v>
      </c>
      <c r="R28" s="120">
        <v>8755</v>
      </c>
      <c r="S28" s="120">
        <v>1191</v>
      </c>
      <c r="T28" s="120">
        <v>1790</v>
      </c>
      <c r="U28" s="120">
        <v>0</v>
      </c>
      <c r="V28" s="120">
        <v>6785</v>
      </c>
      <c r="W28" s="120">
        <v>1634</v>
      </c>
      <c r="X28" s="120">
        <v>52827</v>
      </c>
      <c r="Y28" s="117">
        <f t="shared" si="0"/>
        <v>103295</v>
      </c>
      <c r="Z28" s="120"/>
      <c r="AA28" s="120">
        <v>475554</v>
      </c>
      <c r="AB28" s="120">
        <v>13121</v>
      </c>
      <c r="AC28" s="120">
        <v>52465</v>
      </c>
      <c r="AD28" s="120">
        <v>-9</v>
      </c>
      <c r="AE28" s="120">
        <v>7769</v>
      </c>
      <c r="AF28" s="120">
        <v>1191</v>
      </c>
      <c r="AG28" s="120">
        <v>1903</v>
      </c>
      <c r="AH28" s="120">
        <v>0</v>
      </c>
      <c r="AI28" s="120">
        <v>3007</v>
      </c>
      <c r="AJ28" s="120">
        <v>1789</v>
      </c>
      <c r="AK28" s="120">
        <v>45448</v>
      </c>
      <c r="AL28" s="117">
        <f t="shared" si="1"/>
        <v>62481</v>
      </c>
      <c r="AM28" s="120"/>
      <c r="AN28" s="120">
        <v>383511</v>
      </c>
      <c r="AO28" s="120">
        <v>12490</v>
      </c>
      <c r="AP28" s="120">
        <v>45351</v>
      </c>
      <c r="AQ28" s="120">
        <v>-9</v>
      </c>
      <c r="AR28" s="120">
        <v>6897</v>
      </c>
      <c r="AS28" s="120">
        <v>1191</v>
      </c>
      <c r="AT28" s="120">
        <v>7682</v>
      </c>
      <c r="AU28" s="120">
        <v>0</v>
      </c>
      <c r="AV28" s="120">
        <v>1914</v>
      </c>
      <c r="AW28" s="120">
        <v>22091</v>
      </c>
      <c r="AX28" s="120">
        <v>49740</v>
      </c>
      <c r="AY28" s="117">
        <f t="shared" si="2"/>
        <v>58361</v>
      </c>
      <c r="AZ28" s="120"/>
      <c r="BA28" s="120">
        <v>101790</v>
      </c>
      <c r="BB28" s="120">
        <v>3408</v>
      </c>
      <c r="BC28" s="120">
        <v>10016</v>
      </c>
      <c r="BD28" s="120">
        <v>0</v>
      </c>
      <c r="BE28" s="120">
        <v>2755</v>
      </c>
      <c r="BF28" s="120">
        <v>0</v>
      </c>
      <c r="BG28" s="120">
        <v>258</v>
      </c>
      <c r="BH28" s="120">
        <v>0</v>
      </c>
      <c r="BI28" s="120">
        <v>0</v>
      </c>
      <c r="BJ28" s="120">
        <v>0</v>
      </c>
      <c r="BK28" s="120">
        <v>10915</v>
      </c>
      <c r="BL28" s="117">
        <f t="shared" si="3"/>
        <v>13264</v>
      </c>
      <c r="BM28" s="120"/>
      <c r="BN28" s="120">
        <v>72061</v>
      </c>
      <c r="BO28" s="120">
        <v>3187</v>
      </c>
      <c r="BP28" s="120">
        <v>9123</v>
      </c>
      <c r="BQ28" s="120">
        <v>0</v>
      </c>
      <c r="BR28" s="120">
        <v>2706</v>
      </c>
      <c r="BS28" s="120">
        <v>0</v>
      </c>
      <c r="BT28" s="120">
        <v>258</v>
      </c>
      <c r="BU28" s="120">
        <v>0</v>
      </c>
      <c r="BV28" s="120">
        <v>0</v>
      </c>
      <c r="BW28" s="120">
        <v>0</v>
      </c>
      <c r="BX28" s="120">
        <v>8121</v>
      </c>
      <c r="BY28" s="117">
        <f t="shared" si="4"/>
        <v>1379</v>
      </c>
      <c r="BZ28" s="120"/>
      <c r="CA28" s="120">
        <v>48710</v>
      </c>
      <c r="CB28" s="120">
        <v>3118</v>
      </c>
      <c r="CC28" s="120">
        <v>8125</v>
      </c>
      <c r="CD28" s="120">
        <v>0</v>
      </c>
      <c r="CE28" s="120">
        <v>2188</v>
      </c>
      <c r="CF28" s="120">
        <v>0</v>
      </c>
      <c r="CG28" s="120">
        <v>366</v>
      </c>
      <c r="CH28" s="120">
        <v>0</v>
      </c>
      <c r="CI28" s="120">
        <v>0</v>
      </c>
      <c r="CJ28" s="120">
        <v>0</v>
      </c>
      <c r="CK28" s="120">
        <v>7714</v>
      </c>
      <c r="CL28" s="117">
        <f t="shared" si="5"/>
        <v>3148</v>
      </c>
      <c r="CM28" s="120"/>
      <c r="CN28" s="120">
        <v>0</v>
      </c>
      <c r="CO28" s="120">
        <v>0</v>
      </c>
      <c r="CP28" s="120">
        <v>0</v>
      </c>
      <c r="CQ28" s="120">
        <v>0</v>
      </c>
      <c r="CR28" s="120">
        <v>0</v>
      </c>
      <c r="CS28" s="120">
        <v>0</v>
      </c>
      <c r="CT28" s="120">
        <v>0</v>
      </c>
      <c r="CU28" s="120">
        <v>0</v>
      </c>
      <c r="CV28" s="120">
        <v>0</v>
      </c>
      <c r="CW28" s="120">
        <v>0</v>
      </c>
      <c r="CX28" s="120">
        <v>0</v>
      </c>
      <c r="CY28" s="117">
        <f t="shared" si="6"/>
        <v>0</v>
      </c>
      <c r="CZ28" s="120"/>
      <c r="DA28" s="120">
        <v>0</v>
      </c>
      <c r="DB28" s="120">
        <v>0</v>
      </c>
      <c r="DC28" s="120">
        <v>0</v>
      </c>
      <c r="DD28" s="120">
        <v>0</v>
      </c>
      <c r="DE28" s="120">
        <v>0</v>
      </c>
      <c r="DF28" s="120">
        <v>0</v>
      </c>
      <c r="DG28" s="120">
        <v>0</v>
      </c>
      <c r="DH28" s="120">
        <v>0</v>
      </c>
      <c r="DI28" s="120">
        <v>0</v>
      </c>
      <c r="DJ28" s="120">
        <v>0</v>
      </c>
      <c r="DK28" s="120">
        <v>0</v>
      </c>
      <c r="DL28" s="117">
        <f t="shared" si="7"/>
        <v>0</v>
      </c>
      <c r="DM28" s="120"/>
      <c r="DN28" s="120">
        <v>0</v>
      </c>
      <c r="DO28" s="120">
        <v>0</v>
      </c>
      <c r="DP28" s="120">
        <v>0</v>
      </c>
      <c r="DQ28" s="120">
        <v>0</v>
      </c>
      <c r="DR28" s="120">
        <v>0</v>
      </c>
      <c r="DS28" s="120">
        <v>0</v>
      </c>
      <c r="DT28" s="120">
        <v>0</v>
      </c>
      <c r="DU28" s="120">
        <v>0</v>
      </c>
      <c r="DV28" s="120">
        <v>0</v>
      </c>
      <c r="DW28" s="120">
        <v>0</v>
      </c>
      <c r="DX28" s="120">
        <v>0</v>
      </c>
      <c r="DY28" s="117">
        <f t="shared" si="8"/>
        <v>0</v>
      </c>
      <c r="DZ28" s="116"/>
      <c r="EA28" s="121">
        <f t="shared" si="9"/>
        <v>116559</v>
      </c>
      <c r="EB28" s="121">
        <f t="shared" si="9"/>
        <v>63860</v>
      </c>
      <c r="EC28" s="121">
        <f t="shared" si="9"/>
        <v>61509</v>
      </c>
      <c r="ED28" s="116"/>
      <c r="EE28" s="121" t="str">
        <f t="shared" si="10"/>
        <v/>
      </c>
      <c r="EF28" s="118" t="str">
        <f t="shared" si="11"/>
        <v/>
      </c>
      <c r="EG28" s="118" t="str">
        <f t="shared" si="12"/>
        <v/>
      </c>
      <c r="EH28" s="116"/>
      <c r="EI28" s="120">
        <v>1612419</v>
      </c>
      <c r="EJ28" s="120">
        <v>1363971</v>
      </c>
      <c r="EK28" s="120">
        <v>248448</v>
      </c>
      <c r="EL28" s="120">
        <v>0</v>
      </c>
      <c r="EM28" s="120">
        <v>0</v>
      </c>
      <c r="EN28" s="117">
        <f t="shared" si="13"/>
        <v>1612419</v>
      </c>
      <c r="EO28" s="120">
        <v>1689374</v>
      </c>
      <c r="EP28" s="120">
        <v>1453611</v>
      </c>
      <c r="EQ28" s="120">
        <v>235763</v>
      </c>
      <c r="ER28" s="120">
        <v>0</v>
      </c>
      <c r="ES28" s="120">
        <v>0</v>
      </c>
      <c r="ET28" s="117">
        <f t="shared" si="14"/>
        <v>1689374</v>
      </c>
      <c r="EU28" s="120">
        <v>1504380</v>
      </c>
      <c r="EV28" s="120">
        <v>1288768</v>
      </c>
      <c r="EW28" s="120">
        <v>215612</v>
      </c>
      <c r="EX28" s="120">
        <v>0</v>
      </c>
      <c r="EY28" s="120">
        <v>0</v>
      </c>
      <c r="EZ28" s="117">
        <f t="shared" si="15"/>
        <v>1504380</v>
      </c>
    </row>
    <row r="29" spans="1:156" x14ac:dyDescent="0.4">
      <c r="A29" s="116" t="s">
        <v>332</v>
      </c>
      <c r="B29" s="119">
        <v>4199135</v>
      </c>
      <c r="C29" s="116" t="s">
        <v>46</v>
      </c>
      <c r="D29" s="120">
        <v>2230235</v>
      </c>
      <c r="E29" s="120">
        <v>0</v>
      </c>
      <c r="F29" s="120">
        <v>0</v>
      </c>
      <c r="G29" s="120">
        <v>1836447</v>
      </c>
      <c r="H29" s="120">
        <v>0</v>
      </c>
      <c r="I29" s="120">
        <v>0</v>
      </c>
      <c r="J29" s="120">
        <v>1496460</v>
      </c>
      <c r="K29" s="120">
        <v>0</v>
      </c>
      <c r="L29" s="120">
        <v>0</v>
      </c>
      <c r="M29" s="120"/>
      <c r="N29" s="120">
        <v>1392965</v>
      </c>
      <c r="O29" s="120">
        <v>79858</v>
      </c>
      <c r="P29" s="120">
        <v>197659</v>
      </c>
      <c r="Q29" s="120">
        <v>-258</v>
      </c>
      <c r="R29" s="120">
        <v>33032</v>
      </c>
      <c r="S29" s="120">
        <v>0</v>
      </c>
      <c r="T29" s="120">
        <v>2334</v>
      </c>
      <c r="U29" s="120">
        <v>0</v>
      </c>
      <c r="V29" s="120">
        <v>33810</v>
      </c>
      <c r="W29" s="120">
        <v>36921</v>
      </c>
      <c r="X29" s="120">
        <v>101653</v>
      </c>
      <c r="Y29" s="117">
        <f t="shared" si="0"/>
        <v>426103</v>
      </c>
      <c r="Z29" s="120"/>
      <c r="AA29" s="120">
        <v>1137750</v>
      </c>
      <c r="AB29" s="120">
        <v>65018</v>
      </c>
      <c r="AC29" s="120">
        <v>184164</v>
      </c>
      <c r="AD29" s="120">
        <v>-320</v>
      </c>
      <c r="AE29" s="120">
        <v>30578</v>
      </c>
      <c r="AF29" s="120">
        <v>0</v>
      </c>
      <c r="AG29" s="120">
        <v>2334</v>
      </c>
      <c r="AH29" s="120">
        <v>0</v>
      </c>
      <c r="AI29" s="120">
        <v>29068</v>
      </c>
      <c r="AJ29" s="120">
        <v>33270</v>
      </c>
      <c r="AK29" s="120">
        <v>94970</v>
      </c>
      <c r="AL29" s="117">
        <f t="shared" si="1"/>
        <v>326155</v>
      </c>
      <c r="AM29" s="120"/>
      <c r="AN29" s="120">
        <v>941435</v>
      </c>
      <c r="AO29" s="120">
        <v>54821</v>
      </c>
      <c r="AP29" s="120">
        <v>150930</v>
      </c>
      <c r="AQ29" s="120">
        <v>-320</v>
      </c>
      <c r="AR29" s="120">
        <v>26636</v>
      </c>
      <c r="AS29" s="120">
        <v>0</v>
      </c>
      <c r="AT29" s="120">
        <v>2334</v>
      </c>
      <c r="AU29" s="120">
        <v>0</v>
      </c>
      <c r="AV29" s="120">
        <v>22875</v>
      </c>
      <c r="AW29" s="120">
        <v>16595</v>
      </c>
      <c r="AX29" s="120">
        <v>72895</v>
      </c>
      <c r="AY29" s="117">
        <f t="shared" si="2"/>
        <v>241449</v>
      </c>
      <c r="AZ29" s="120"/>
      <c r="BA29" s="120">
        <v>0</v>
      </c>
      <c r="BB29" s="120">
        <v>0</v>
      </c>
      <c r="BC29" s="120">
        <v>0</v>
      </c>
      <c r="BD29" s="120">
        <v>0</v>
      </c>
      <c r="BE29" s="120">
        <v>0</v>
      </c>
      <c r="BF29" s="120">
        <v>0</v>
      </c>
      <c r="BG29" s="120">
        <v>0</v>
      </c>
      <c r="BH29" s="120">
        <v>0</v>
      </c>
      <c r="BI29" s="120">
        <v>0</v>
      </c>
      <c r="BJ29" s="120">
        <v>0</v>
      </c>
      <c r="BK29" s="120">
        <v>0</v>
      </c>
      <c r="BL29" s="117">
        <f t="shared" si="3"/>
        <v>0</v>
      </c>
      <c r="BM29" s="120"/>
      <c r="BN29" s="120">
        <v>0</v>
      </c>
      <c r="BO29" s="120">
        <v>0</v>
      </c>
      <c r="BP29" s="120">
        <v>0</v>
      </c>
      <c r="BQ29" s="120">
        <v>0</v>
      </c>
      <c r="BR29" s="120">
        <v>0</v>
      </c>
      <c r="BS29" s="120">
        <v>0</v>
      </c>
      <c r="BT29" s="120">
        <v>0</v>
      </c>
      <c r="BU29" s="120">
        <v>0</v>
      </c>
      <c r="BV29" s="120">
        <v>0</v>
      </c>
      <c r="BW29" s="120">
        <v>0</v>
      </c>
      <c r="BX29" s="120">
        <v>0</v>
      </c>
      <c r="BY29" s="117">
        <f t="shared" si="4"/>
        <v>0</v>
      </c>
      <c r="BZ29" s="120"/>
      <c r="CA29" s="120">
        <v>0</v>
      </c>
      <c r="CB29" s="120">
        <v>0</v>
      </c>
      <c r="CC29" s="120">
        <v>0</v>
      </c>
      <c r="CD29" s="120">
        <v>0</v>
      </c>
      <c r="CE29" s="120">
        <v>0</v>
      </c>
      <c r="CF29" s="120">
        <v>0</v>
      </c>
      <c r="CG29" s="120">
        <v>0</v>
      </c>
      <c r="CH29" s="120">
        <v>0</v>
      </c>
      <c r="CI29" s="120">
        <v>0</v>
      </c>
      <c r="CJ29" s="120">
        <v>0</v>
      </c>
      <c r="CK29" s="120">
        <v>0</v>
      </c>
      <c r="CL29" s="117">
        <f t="shared" si="5"/>
        <v>0</v>
      </c>
      <c r="CM29" s="120"/>
      <c r="CN29" s="120">
        <v>0</v>
      </c>
      <c r="CO29" s="120">
        <v>0</v>
      </c>
      <c r="CP29" s="120">
        <v>0</v>
      </c>
      <c r="CQ29" s="120">
        <v>0</v>
      </c>
      <c r="CR29" s="120">
        <v>0</v>
      </c>
      <c r="CS29" s="120">
        <v>0</v>
      </c>
      <c r="CT29" s="120">
        <v>0</v>
      </c>
      <c r="CU29" s="120">
        <v>0</v>
      </c>
      <c r="CV29" s="120">
        <v>0</v>
      </c>
      <c r="CW29" s="120">
        <v>0</v>
      </c>
      <c r="CX29" s="120">
        <v>0</v>
      </c>
      <c r="CY29" s="117">
        <f t="shared" si="6"/>
        <v>0</v>
      </c>
      <c r="CZ29" s="120"/>
      <c r="DA29" s="120">
        <v>0</v>
      </c>
      <c r="DB29" s="120">
        <v>0</v>
      </c>
      <c r="DC29" s="120">
        <v>0</v>
      </c>
      <c r="DD29" s="120">
        <v>0</v>
      </c>
      <c r="DE29" s="120">
        <v>0</v>
      </c>
      <c r="DF29" s="120">
        <v>0</v>
      </c>
      <c r="DG29" s="120">
        <v>0</v>
      </c>
      <c r="DH29" s="120">
        <v>0</v>
      </c>
      <c r="DI29" s="120">
        <v>0</v>
      </c>
      <c r="DJ29" s="120">
        <v>0</v>
      </c>
      <c r="DK29" s="120">
        <v>0</v>
      </c>
      <c r="DL29" s="117">
        <f t="shared" si="7"/>
        <v>0</v>
      </c>
      <c r="DM29" s="120"/>
      <c r="DN29" s="120">
        <v>0</v>
      </c>
      <c r="DO29" s="120">
        <v>0</v>
      </c>
      <c r="DP29" s="120">
        <v>0</v>
      </c>
      <c r="DQ29" s="120">
        <v>0</v>
      </c>
      <c r="DR29" s="120">
        <v>0</v>
      </c>
      <c r="DS29" s="120">
        <v>0</v>
      </c>
      <c r="DT29" s="120">
        <v>0</v>
      </c>
      <c r="DU29" s="120">
        <v>0</v>
      </c>
      <c r="DV29" s="120">
        <v>0</v>
      </c>
      <c r="DW29" s="120">
        <v>0</v>
      </c>
      <c r="DX29" s="120">
        <v>0</v>
      </c>
      <c r="DY29" s="117">
        <f t="shared" si="8"/>
        <v>0</v>
      </c>
      <c r="DZ29" s="116"/>
      <c r="EA29" s="121">
        <f t="shared" si="9"/>
        <v>426103</v>
      </c>
      <c r="EB29" s="121">
        <f t="shared" si="9"/>
        <v>326155</v>
      </c>
      <c r="EC29" s="121">
        <f t="shared" si="9"/>
        <v>241449</v>
      </c>
      <c r="ED29" s="116"/>
      <c r="EE29" s="121" t="str">
        <f t="shared" si="10"/>
        <v/>
      </c>
      <c r="EF29" s="118" t="str">
        <f t="shared" si="11"/>
        <v/>
      </c>
      <c r="EG29" s="118" t="str">
        <f t="shared" si="12"/>
        <v/>
      </c>
      <c r="EH29" s="116"/>
      <c r="EI29" s="120">
        <v>5675038</v>
      </c>
      <c r="EJ29" s="120">
        <v>5675038</v>
      </c>
      <c r="EK29" s="120">
        <v>0</v>
      </c>
      <c r="EL29" s="120">
        <v>0</v>
      </c>
      <c r="EM29" s="120">
        <v>0</v>
      </c>
      <c r="EN29" s="117">
        <f t="shared" si="13"/>
        <v>5675038</v>
      </c>
      <c r="EO29" s="120">
        <v>5411474</v>
      </c>
      <c r="EP29" s="120">
        <v>5411474</v>
      </c>
      <c r="EQ29" s="120">
        <v>0</v>
      </c>
      <c r="ER29" s="120">
        <v>0</v>
      </c>
      <c r="ES29" s="120">
        <v>0</v>
      </c>
      <c r="ET29" s="117">
        <f t="shared" si="14"/>
        <v>5411474</v>
      </c>
      <c r="EU29" s="120">
        <v>5136249</v>
      </c>
      <c r="EV29" s="120">
        <v>5136249</v>
      </c>
      <c r="EW29" s="120">
        <v>0</v>
      </c>
      <c r="EX29" s="120">
        <v>0</v>
      </c>
      <c r="EY29" s="120">
        <v>0</v>
      </c>
      <c r="EZ29" s="117">
        <f t="shared" si="15"/>
        <v>5136249</v>
      </c>
    </row>
    <row r="30" spans="1:156" x14ac:dyDescent="0.4">
      <c r="A30" s="116" t="s">
        <v>333</v>
      </c>
      <c r="B30" s="119">
        <v>4056975</v>
      </c>
      <c r="C30" s="116" t="s">
        <v>50</v>
      </c>
      <c r="D30" s="120">
        <v>1435013</v>
      </c>
      <c r="E30" s="120">
        <v>0</v>
      </c>
      <c r="F30" s="120">
        <v>0</v>
      </c>
      <c r="G30" s="120">
        <v>1424228</v>
      </c>
      <c r="H30" s="120">
        <v>0</v>
      </c>
      <c r="I30" s="120">
        <v>0</v>
      </c>
      <c r="J30" s="120">
        <v>1243517</v>
      </c>
      <c r="K30" s="120">
        <v>0</v>
      </c>
      <c r="L30" s="120">
        <v>0</v>
      </c>
      <c r="M30" s="120"/>
      <c r="N30" s="120">
        <v>879156</v>
      </c>
      <c r="O30" s="120">
        <v>91206</v>
      </c>
      <c r="P30" s="120">
        <v>158373</v>
      </c>
      <c r="Q30" s="120">
        <v>0</v>
      </c>
      <c r="R30" s="120">
        <v>18019</v>
      </c>
      <c r="S30" s="120">
        <v>0</v>
      </c>
      <c r="T30" s="120">
        <v>0</v>
      </c>
      <c r="U30" s="120">
        <v>0</v>
      </c>
      <c r="V30" s="120">
        <v>67555</v>
      </c>
      <c r="W30" s="120">
        <v>5421</v>
      </c>
      <c r="X30" s="120">
        <v>8771</v>
      </c>
      <c r="Y30" s="117">
        <f t="shared" si="0"/>
        <v>217354</v>
      </c>
      <c r="Z30" s="120"/>
      <c r="AA30" s="120">
        <v>947847</v>
      </c>
      <c r="AB30" s="120">
        <v>88816</v>
      </c>
      <c r="AC30" s="120">
        <v>143298</v>
      </c>
      <c r="AD30" s="120">
        <v>0</v>
      </c>
      <c r="AE30" s="120">
        <v>11798</v>
      </c>
      <c r="AF30" s="120">
        <v>0</v>
      </c>
      <c r="AG30" s="120">
        <v>0</v>
      </c>
      <c r="AH30" s="120">
        <v>0</v>
      </c>
      <c r="AI30" s="120">
        <v>33210</v>
      </c>
      <c r="AJ30" s="120">
        <v>-207</v>
      </c>
      <c r="AK30" s="120">
        <v>8074</v>
      </c>
      <c r="AL30" s="117">
        <f t="shared" si="1"/>
        <v>190978</v>
      </c>
      <c r="AM30" s="120"/>
      <c r="AN30" s="120">
        <v>842472</v>
      </c>
      <c r="AO30" s="120">
        <v>89904</v>
      </c>
      <c r="AP30" s="120">
        <v>132816</v>
      </c>
      <c r="AQ30" s="120">
        <v>0</v>
      </c>
      <c r="AR30" s="120">
        <v>7420</v>
      </c>
      <c r="AS30" s="120">
        <v>0</v>
      </c>
      <c r="AT30" s="120">
        <v>0</v>
      </c>
      <c r="AU30" s="120">
        <v>0</v>
      </c>
      <c r="AV30" s="120">
        <v>31787</v>
      </c>
      <c r="AW30" s="120">
        <v>365</v>
      </c>
      <c r="AX30" s="120">
        <v>7623</v>
      </c>
      <c r="AY30" s="117">
        <f t="shared" si="2"/>
        <v>131860</v>
      </c>
      <c r="AZ30" s="120"/>
      <c r="BA30" s="120">
        <v>0</v>
      </c>
      <c r="BB30" s="120">
        <v>0</v>
      </c>
      <c r="BC30" s="120">
        <v>0</v>
      </c>
      <c r="BD30" s="120">
        <v>0</v>
      </c>
      <c r="BE30" s="120">
        <v>0</v>
      </c>
      <c r="BF30" s="120">
        <v>0</v>
      </c>
      <c r="BG30" s="120">
        <v>0</v>
      </c>
      <c r="BH30" s="120">
        <v>0</v>
      </c>
      <c r="BI30" s="120">
        <v>0</v>
      </c>
      <c r="BJ30" s="120">
        <v>0</v>
      </c>
      <c r="BK30" s="120">
        <v>0</v>
      </c>
      <c r="BL30" s="117">
        <f t="shared" si="3"/>
        <v>0</v>
      </c>
      <c r="BM30" s="120"/>
      <c r="BN30" s="120">
        <v>0</v>
      </c>
      <c r="BO30" s="120">
        <v>0</v>
      </c>
      <c r="BP30" s="120">
        <v>0</v>
      </c>
      <c r="BQ30" s="120">
        <v>0</v>
      </c>
      <c r="BR30" s="120">
        <v>0</v>
      </c>
      <c r="BS30" s="120">
        <v>0</v>
      </c>
      <c r="BT30" s="120">
        <v>0</v>
      </c>
      <c r="BU30" s="120">
        <v>0</v>
      </c>
      <c r="BV30" s="120">
        <v>0</v>
      </c>
      <c r="BW30" s="120">
        <v>0</v>
      </c>
      <c r="BX30" s="120">
        <v>0</v>
      </c>
      <c r="BY30" s="117">
        <f t="shared" si="4"/>
        <v>0</v>
      </c>
      <c r="BZ30" s="120"/>
      <c r="CA30" s="120">
        <v>0</v>
      </c>
      <c r="CB30" s="120">
        <v>0</v>
      </c>
      <c r="CC30" s="120">
        <v>0</v>
      </c>
      <c r="CD30" s="120">
        <v>0</v>
      </c>
      <c r="CE30" s="120">
        <v>0</v>
      </c>
      <c r="CF30" s="120">
        <v>0</v>
      </c>
      <c r="CG30" s="120">
        <v>0</v>
      </c>
      <c r="CH30" s="120">
        <v>0</v>
      </c>
      <c r="CI30" s="120">
        <v>0</v>
      </c>
      <c r="CJ30" s="120">
        <v>0</v>
      </c>
      <c r="CK30" s="120">
        <v>0</v>
      </c>
      <c r="CL30" s="117">
        <f t="shared" si="5"/>
        <v>0</v>
      </c>
      <c r="CM30" s="120"/>
      <c r="CN30" s="120">
        <v>0</v>
      </c>
      <c r="CO30" s="120">
        <v>0</v>
      </c>
      <c r="CP30" s="120">
        <v>0</v>
      </c>
      <c r="CQ30" s="120">
        <v>0</v>
      </c>
      <c r="CR30" s="120">
        <v>0</v>
      </c>
      <c r="CS30" s="120">
        <v>0</v>
      </c>
      <c r="CT30" s="120">
        <v>0</v>
      </c>
      <c r="CU30" s="120">
        <v>0</v>
      </c>
      <c r="CV30" s="120">
        <v>0</v>
      </c>
      <c r="CW30" s="120">
        <v>0</v>
      </c>
      <c r="CX30" s="120">
        <v>0</v>
      </c>
      <c r="CY30" s="117">
        <f t="shared" si="6"/>
        <v>0</v>
      </c>
      <c r="CZ30" s="120"/>
      <c r="DA30" s="120">
        <v>0</v>
      </c>
      <c r="DB30" s="120">
        <v>0</v>
      </c>
      <c r="DC30" s="120">
        <v>0</v>
      </c>
      <c r="DD30" s="120">
        <v>0</v>
      </c>
      <c r="DE30" s="120">
        <v>0</v>
      </c>
      <c r="DF30" s="120">
        <v>0</v>
      </c>
      <c r="DG30" s="120">
        <v>0</v>
      </c>
      <c r="DH30" s="120">
        <v>0</v>
      </c>
      <c r="DI30" s="120">
        <v>0</v>
      </c>
      <c r="DJ30" s="120">
        <v>0</v>
      </c>
      <c r="DK30" s="120">
        <v>0</v>
      </c>
      <c r="DL30" s="117">
        <f t="shared" si="7"/>
        <v>0</v>
      </c>
      <c r="DM30" s="120"/>
      <c r="DN30" s="120">
        <v>0</v>
      </c>
      <c r="DO30" s="120">
        <v>0</v>
      </c>
      <c r="DP30" s="120">
        <v>0</v>
      </c>
      <c r="DQ30" s="120">
        <v>0</v>
      </c>
      <c r="DR30" s="120">
        <v>0</v>
      </c>
      <c r="DS30" s="120">
        <v>0</v>
      </c>
      <c r="DT30" s="120">
        <v>0</v>
      </c>
      <c r="DU30" s="120">
        <v>0</v>
      </c>
      <c r="DV30" s="120">
        <v>0</v>
      </c>
      <c r="DW30" s="120">
        <v>0</v>
      </c>
      <c r="DX30" s="120">
        <v>0</v>
      </c>
      <c r="DY30" s="117">
        <f t="shared" si="8"/>
        <v>0</v>
      </c>
      <c r="DZ30" s="116"/>
      <c r="EA30" s="121">
        <f t="shared" si="9"/>
        <v>217354</v>
      </c>
      <c r="EB30" s="121">
        <f t="shared" si="9"/>
        <v>190978</v>
      </c>
      <c r="EC30" s="121">
        <f t="shared" si="9"/>
        <v>131860</v>
      </c>
      <c r="ED30" s="116"/>
      <c r="EE30" s="121" t="str">
        <f t="shared" si="10"/>
        <v/>
      </c>
      <c r="EF30" s="118" t="str">
        <f t="shared" si="11"/>
        <v/>
      </c>
      <c r="EG30" s="118" t="str">
        <f t="shared" si="12"/>
        <v/>
      </c>
      <c r="EH30" s="116"/>
      <c r="EI30" s="120">
        <v>4350572</v>
      </c>
      <c r="EJ30" s="120">
        <v>4350572</v>
      </c>
      <c r="EK30" s="120">
        <v>0</v>
      </c>
      <c r="EL30" s="120">
        <v>0</v>
      </c>
      <c r="EM30" s="120">
        <v>0</v>
      </c>
      <c r="EN30" s="117">
        <f t="shared" si="13"/>
        <v>4350572</v>
      </c>
      <c r="EO30" s="120">
        <v>4089699</v>
      </c>
      <c r="EP30" s="120">
        <v>4089699</v>
      </c>
      <c r="EQ30" s="120">
        <v>0</v>
      </c>
      <c r="ER30" s="120">
        <v>0</v>
      </c>
      <c r="ES30" s="120">
        <v>0</v>
      </c>
      <c r="ET30" s="117">
        <f t="shared" si="14"/>
        <v>4089699</v>
      </c>
      <c r="EU30" s="120">
        <v>3813503</v>
      </c>
      <c r="EV30" s="120">
        <v>3813503</v>
      </c>
      <c r="EW30" s="120">
        <v>0</v>
      </c>
      <c r="EX30" s="120">
        <v>0</v>
      </c>
      <c r="EY30" s="120">
        <v>0</v>
      </c>
      <c r="EZ30" s="117">
        <f t="shared" si="15"/>
        <v>3813503</v>
      </c>
    </row>
    <row r="31" spans="1:156" x14ac:dyDescent="0.4">
      <c r="A31" s="116" t="s">
        <v>334</v>
      </c>
      <c r="B31" s="119">
        <v>4007784</v>
      </c>
      <c r="C31" s="116" t="s">
        <v>50</v>
      </c>
      <c r="D31" s="120">
        <v>2867415</v>
      </c>
      <c r="E31" s="120">
        <v>1024563</v>
      </c>
      <c r="F31" s="120">
        <v>0</v>
      </c>
      <c r="G31" s="120">
        <v>2500854</v>
      </c>
      <c r="H31" s="120">
        <v>836318</v>
      </c>
      <c r="I31" s="120">
        <v>0</v>
      </c>
      <c r="J31" s="120">
        <v>2326722</v>
      </c>
      <c r="K31" s="120">
        <v>763966</v>
      </c>
      <c r="L31" s="120">
        <v>0</v>
      </c>
      <c r="M31" s="120"/>
      <c r="N31" s="120">
        <v>1606870</v>
      </c>
      <c r="O31" s="120">
        <v>136111</v>
      </c>
      <c r="P31" s="120">
        <v>280630</v>
      </c>
      <c r="Q31" s="120">
        <v>0</v>
      </c>
      <c r="R31" s="120">
        <v>67076</v>
      </c>
      <c r="S31" s="120">
        <v>0</v>
      </c>
      <c r="T31" s="120">
        <v>0</v>
      </c>
      <c r="U31" s="120">
        <v>0</v>
      </c>
      <c r="V31" s="120">
        <v>149999</v>
      </c>
      <c r="W31" s="120">
        <v>16856</v>
      </c>
      <c r="X31" s="120">
        <v>222958</v>
      </c>
      <c r="Y31" s="117">
        <f t="shared" si="0"/>
        <v>420627</v>
      </c>
      <c r="Z31" s="120"/>
      <c r="AA31" s="120">
        <v>1344780</v>
      </c>
      <c r="AB31" s="120">
        <v>125272</v>
      </c>
      <c r="AC31" s="120">
        <v>265038</v>
      </c>
      <c r="AD31" s="120">
        <v>0</v>
      </c>
      <c r="AE31" s="120">
        <v>55273</v>
      </c>
      <c r="AF31" s="120">
        <v>0</v>
      </c>
      <c r="AG31" s="120">
        <v>0</v>
      </c>
      <c r="AH31" s="120">
        <v>0</v>
      </c>
      <c r="AI31" s="120">
        <v>153559</v>
      </c>
      <c r="AJ31" s="120">
        <v>18815</v>
      </c>
      <c r="AK31" s="120">
        <v>210739</v>
      </c>
      <c r="AL31" s="117">
        <f t="shared" si="1"/>
        <v>365008</v>
      </c>
      <c r="AM31" s="120"/>
      <c r="AN31" s="120">
        <v>1217543</v>
      </c>
      <c r="AO31" s="120">
        <v>129104</v>
      </c>
      <c r="AP31" s="120">
        <v>243990</v>
      </c>
      <c r="AQ31" s="120">
        <v>0</v>
      </c>
      <c r="AR31" s="120">
        <v>44229</v>
      </c>
      <c r="AS31" s="120">
        <v>0</v>
      </c>
      <c r="AT31" s="120">
        <v>0</v>
      </c>
      <c r="AU31" s="120">
        <v>0</v>
      </c>
      <c r="AV31" s="120">
        <v>153440</v>
      </c>
      <c r="AW31" s="120">
        <v>37958</v>
      </c>
      <c r="AX31" s="120">
        <v>202105</v>
      </c>
      <c r="AY31" s="117">
        <f t="shared" si="2"/>
        <v>374269</v>
      </c>
      <c r="AZ31" s="120"/>
      <c r="BA31" s="120">
        <v>556618</v>
      </c>
      <c r="BB31" s="120">
        <v>53228</v>
      </c>
      <c r="BC31" s="120">
        <v>111200</v>
      </c>
      <c r="BD31" s="120">
        <v>0</v>
      </c>
      <c r="BE31" s="120">
        <v>23094</v>
      </c>
      <c r="BF31" s="120">
        <v>0</v>
      </c>
      <c r="BG31" s="120">
        <v>0</v>
      </c>
      <c r="BH31" s="120">
        <v>0</v>
      </c>
      <c r="BI31" s="120">
        <v>36848</v>
      </c>
      <c r="BJ31" s="120">
        <v>13834</v>
      </c>
      <c r="BK31" s="120">
        <v>78975</v>
      </c>
      <c r="BL31" s="117">
        <f t="shared" si="3"/>
        <v>178434</v>
      </c>
      <c r="BM31" s="120"/>
      <c r="BN31" s="120">
        <v>430993</v>
      </c>
      <c r="BO31" s="120">
        <v>59973</v>
      </c>
      <c r="BP31" s="120">
        <v>102299</v>
      </c>
      <c r="BQ31" s="120">
        <v>0</v>
      </c>
      <c r="BR31" s="120">
        <v>19571</v>
      </c>
      <c r="BS31" s="120">
        <v>0</v>
      </c>
      <c r="BT31" s="120">
        <v>0</v>
      </c>
      <c r="BU31" s="120">
        <v>0</v>
      </c>
      <c r="BV31" s="120">
        <v>30561</v>
      </c>
      <c r="BW31" s="120">
        <v>7301</v>
      </c>
      <c r="BX31" s="120">
        <v>72304</v>
      </c>
      <c r="BY31" s="117">
        <f t="shared" si="4"/>
        <v>127918</v>
      </c>
      <c r="BZ31" s="120"/>
      <c r="CA31" s="120">
        <v>358983</v>
      </c>
      <c r="CB31" s="120">
        <v>55685</v>
      </c>
      <c r="CC31" s="120">
        <v>92686</v>
      </c>
      <c r="CD31" s="120">
        <v>0</v>
      </c>
      <c r="CE31" s="120">
        <v>16905</v>
      </c>
      <c r="CF31" s="120">
        <v>0</v>
      </c>
      <c r="CG31" s="120">
        <v>0</v>
      </c>
      <c r="CH31" s="120">
        <v>0</v>
      </c>
      <c r="CI31" s="120">
        <v>31185</v>
      </c>
      <c r="CJ31" s="120">
        <v>16022</v>
      </c>
      <c r="CK31" s="120">
        <v>65787</v>
      </c>
      <c r="CL31" s="117">
        <f t="shared" si="5"/>
        <v>158757</v>
      </c>
      <c r="CM31" s="120"/>
      <c r="CN31" s="120">
        <v>0</v>
      </c>
      <c r="CO31" s="120">
        <v>0</v>
      </c>
      <c r="CP31" s="120">
        <v>0</v>
      </c>
      <c r="CQ31" s="120">
        <v>0</v>
      </c>
      <c r="CR31" s="120">
        <v>0</v>
      </c>
      <c r="CS31" s="120">
        <v>0</v>
      </c>
      <c r="CT31" s="120">
        <v>0</v>
      </c>
      <c r="CU31" s="120">
        <v>0</v>
      </c>
      <c r="CV31" s="120">
        <v>0</v>
      </c>
      <c r="CW31" s="120">
        <v>0</v>
      </c>
      <c r="CX31" s="120">
        <v>0</v>
      </c>
      <c r="CY31" s="117">
        <f t="shared" si="6"/>
        <v>0</v>
      </c>
      <c r="CZ31" s="120"/>
      <c r="DA31" s="120">
        <v>0</v>
      </c>
      <c r="DB31" s="120">
        <v>0</v>
      </c>
      <c r="DC31" s="120">
        <v>0</v>
      </c>
      <c r="DD31" s="120">
        <v>0</v>
      </c>
      <c r="DE31" s="120">
        <v>0</v>
      </c>
      <c r="DF31" s="120">
        <v>0</v>
      </c>
      <c r="DG31" s="120">
        <v>0</v>
      </c>
      <c r="DH31" s="120">
        <v>0</v>
      </c>
      <c r="DI31" s="120">
        <v>0</v>
      </c>
      <c r="DJ31" s="120">
        <v>0</v>
      </c>
      <c r="DK31" s="120">
        <v>0</v>
      </c>
      <c r="DL31" s="117">
        <f t="shared" si="7"/>
        <v>0</v>
      </c>
      <c r="DM31" s="120"/>
      <c r="DN31" s="120">
        <v>0</v>
      </c>
      <c r="DO31" s="120">
        <v>0</v>
      </c>
      <c r="DP31" s="120">
        <v>0</v>
      </c>
      <c r="DQ31" s="120">
        <v>0</v>
      </c>
      <c r="DR31" s="120">
        <v>0</v>
      </c>
      <c r="DS31" s="120">
        <v>0</v>
      </c>
      <c r="DT31" s="120">
        <v>0</v>
      </c>
      <c r="DU31" s="120">
        <v>0</v>
      </c>
      <c r="DV31" s="120">
        <v>0</v>
      </c>
      <c r="DW31" s="120">
        <v>0</v>
      </c>
      <c r="DX31" s="120">
        <v>0</v>
      </c>
      <c r="DY31" s="117">
        <f t="shared" si="8"/>
        <v>0</v>
      </c>
      <c r="DZ31" s="116"/>
      <c r="EA31" s="121">
        <f t="shared" ref="EA31:EC50" si="16">SUMIF($D$9:$DY$9,EA$9,$D31:$DY31)</f>
        <v>599061</v>
      </c>
      <c r="EB31" s="121">
        <f t="shared" si="16"/>
        <v>492926</v>
      </c>
      <c r="EC31" s="121">
        <f t="shared" si="16"/>
        <v>533026</v>
      </c>
      <c r="ED31" s="116"/>
      <c r="EE31" s="121" t="str">
        <f t="shared" si="10"/>
        <v/>
      </c>
      <c r="EF31" s="118" t="str">
        <f t="shared" si="11"/>
        <v/>
      </c>
      <c r="EG31" s="118" t="str">
        <f t="shared" si="12"/>
        <v/>
      </c>
      <c r="EH31" s="116"/>
      <c r="EI31" s="120">
        <v>11364928</v>
      </c>
      <c r="EJ31" s="120">
        <v>7040199</v>
      </c>
      <c r="EK31" s="120">
        <v>3378794</v>
      </c>
      <c r="EL31" s="120">
        <v>0</v>
      </c>
      <c r="EM31" s="120">
        <v>945935</v>
      </c>
      <c r="EN31" s="117">
        <f t="shared" si="13"/>
        <v>10418993</v>
      </c>
      <c r="EO31" s="120">
        <v>10593197</v>
      </c>
      <c r="EP31" s="120">
        <v>6598759</v>
      </c>
      <c r="EQ31" s="120">
        <v>3047213</v>
      </c>
      <c r="ER31" s="120">
        <v>0</v>
      </c>
      <c r="ES31" s="120">
        <v>947225</v>
      </c>
      <c r="ET31" s="117">
        <f t="shared" si="14"/>
        <v>9645972</v>
      </c>
      <c r="EU31" s="120">
        <v>9857650</v>
      </c>
      <c r="EV31" s="120">
        <v>6164025</v>
      </c>
      <c r="EW31" s="120">
        <v>2764453</v>
      </c>
      <c r="EX31" s="120">
        <v>0</v>
      </c>
      <c r="EY31" s="120">
        <v>929172</v>
      </c>
      <c r="EZ31" s="117">
        <f t="shared" si="15"/>
        <v>8928478</v>
      </c>
    </row>
    <row r="32" spans="1:156" x14ac:dyDescent="0.4">
      <c r="A32" s="116" t="s">
        <v>335</v>
      </c>
      <c r="B32" s="119">
        <v>4000672</v>
      </c>
      <c r="C32" s="116" t="s">
        <v>50</v>
      </c>
      <c r="D32" s="120">
        <v>5797975</v>
      </c>
      <c r="E32" s="120">
        <v>0</v>
      </c>
      <c r="F32" s="120">
        <v>0</v>
      </c>
      <c r="G32" s="120">
        <v>6403357</v>
      </c>
      <c r="H32" s="120">
        <v>0</v>
      </c>
      <c r="I32" s="120">
        <v>0</v>
      </c>
      <c r="J32" s="120">
        <v>5892689</v>
      </c>
      <c r="K32" s="120">
        <v>0</v>
      </c>
      <c r="L32" s="120">
        <v>0</v>
      </c>
      <c r="M32" s="120"/>
      <c r="N32" s="120">
        <v>2092928</v>
      </c>
      <c r="O32" s="120">
        <v>444212</v>
      </c>
      <c r="P32" s="120">
        <v>935016</v>
      </c>
      <c r="Q32" s="120">
        <v>2104</v>
      </c>
      <c r="R32" s="120">
        <v>102492</v>
      </c>
      <c r="S32" s="120">
        <v>0</v>
      </c>
      <c r="T32" s="120">
        <v>0</v>
      </c>
      <c r="U32" s="120">
        <v>0</v>
      </c>
      <c r="V32" s="120">
        <v>311737</v>
      </c>
      <c r="W32" s="120">
        <v>65912</v>
      </c>
      <c r="X32" s="120">
        <v>372385</v>
      </c>
      <c r="Y32" s="117">
        <f t="shared" si="0"/>
        <v>1603013</v>
      </c>
      <c r="Z32" s="120"/>
      <c r="AA32" s="120">
        <v>3159425</v>
      </c>
      <c r="AB32" s="120">
        <v>410738</v>
      </c>
      <c r="AC32" s="120">
        <v>888455</v>
      </c>
      <c r="AD32" s="120">
        <v>1960</v>
      </c>
      <c r="AE32" s="120">
        <v>83394</v>
      </c>
      <c r="AF32" s="120">
        <v>0</v>
      </c>
      <c r="AG32" s="120">
        <v>0</v>
      </c>
      <c r="AH32" s="120">
        <v>0</v>
      </c>
      <c r="AI32" s="120">
        <v>264646</v>
      </c>
      <c r="AJ32" s="120">
        <v>48662</v>
      </c>
      <c r="AK32" s="120">
        <v>318441</v>
      </c>
      <c r="AL32" s="117">
        <f t="shared" si="1"/>
        <v>1324960</v>
      </c>
      <c r="AM32" s="120"/>
      <c r="AN32" s="120">
        <v>2919711</v>
      </c>
      <c r="AO32" s="120">
        <v>473002</v>
      </c>
      <c r="AP32" s="120">
        <v>840633</v>
      </c>
      <c r="AQ32" s="120">
        <v>1847</v>
      </c>
      <c r="AR32" s="120">
        <v>80567</v>
      </c>
      <c r="AS32" s="120">
        <v>0</v>
      </c>
      <c r="AT32" s="120">
        <v>0</v>
      </c>
      <c r="AU32" s="120">
        <v>0</v>
      </c>
      <c r="AV32" s="120">
        <v>210578</v>
      </c>
      <c r="AW32" s="120">
        <v>148243</v>
      </c>
      <c r="AX32" s="120">
        <v>297187</v>
      </c>
      <c r="AY32" s="117">
        <f t="shared" si="2"/>
        <v>1217407</v>
      </c>
      <c r="AZ32" s="120"/>
      <c r="BA32" s="120">
        <v>0</v>
      </c>
      <c r="BB32" s="120">
        <v>0</v>
      </c>
      <c r="BC32" s="120">
        <v>0</v>
      </c>
      <c r="BD32" s="120">
        <v>0</v>
      </c>
      <c r="BE32" s="120">
        <v>0</v>
      </c>
      <c r="BF32" s="120">
        <v>0</v>
      </c>
      <c r="BG32" s="120">
        <v>0</v>
      </c>
      <c r="BH32" s="120">
        <v>0</v>
      </c>
      <c r="BI32" s="120">
        <v>0</v>
      </c>
      <c r="BJ32" s="120">
        <v>0</v>
      </c>
      <c r="BK32" s="120">
        <v>0</v>
      </c>
      <c r="BL32" s="117">
        <f t="shared" si="3"/>
        <v>0</v>
      </c>
      <c r="BM32" s="120"/>
      <c r="BN32" s="120">
        <v>0</v>
      </c>
      <c r="BO32" s="120">
        <v>0</v>
      </c>
      <c r="BP32" s="120">
        <v>0</v>
      </c>
      <c r="BQ32" s="120">
        <v>0</v>
      </c>
      <c r="BR32" s="120">
        <v>0</v>
      </c>
      <c r="BS32" s="120">
        <v>0</v>
      </c>
      <c r="BT32" s="120">
        <v>0</v>
      </c>
      <c r="BU32" s="120">
        <v>0</v>
      </c>
      <c r="BV32" s="120">
        <v>0</v>
      </c>
      <c r="BW32" s="120">
        <v>0</v>
      </c>
      <c r="BX32" s="120">
        <v>0</v>
      </c>
      <c r="BY32" s="117">
        <f t="shared" si="4"/>
        <v>0</v>
      </c>
      <c r="BZ32" s="120"/>
      <c r="CA32" s="120">
        <v>0</v>
      </c>
      <c r="CB32" s="120">
        <v>0</v>
      </c>
      <c r="CC32" s="120">
        <v>0</v>
      </c>
      <c r="CD32" s="120">
        <v>0</v>
      </c>
      <c r="CE32" s="120">
        <v>0</v>
      </c>
      <c r="CF32" s="120">
        <v>0</v>
      </c>
      <c r="CG32" s="120">
        <v>0</v>
      </c>
      <c r="CH32" s="120">
        <v>0</v>
      </c>
      <c r="CI32" s="120">
        <v>0</v>
      </c>
      <c r="CJ32" s="120">
        <v>0</v>
      </c>
      <c r="CK32" s="120">
        <v>0</v>
      </c>
      <c r="CL32" s="117">
        <f t="shared" si="5"/>
        <v>0</v>
      </c>
      <c r="CM32" s="120"/>
      <c r="CN32" s="120">
        <v>0</v>
      </c>
      <c r="CO32" s="120">
        <v>0</v>
      </c>
      <c r="CP32" s="120">
        <v>0</v>
      </c>
      <c r="CQ32" s="120">
        <v>0</v>
      </c>
      <c r="CR32" s="120">
        <v>0</v>
      </c>
      <c r="CS32" s="120">
        <v>0</v>
      </c>
      <c r="CT32" s="120">
        <v>0</v>
      </c>
      <c r="CU32" s="120">
        <v>0</v>
      </c>
      <c r="CV32" s="120">
        <v>0</v>
      </c>
      <c r="CW32" s="120">
        <v>0</v>
      </c>
      <c r="CX32" s="120">
        <v>0</v>
      </c>
      <c r="CY32" s="117">
        <f t="shared" si="6"/>
        <v>0</v>
      </c>
      <c r="CZ32" s="120"/>
      <c r="DA32" s="120">
        <v>0</v>
      </c>
      <c r="DB32" s="120">
        <v>0</v>
      </c>
      <c r="DC32" s="120">
        <v>0</v>
      </c>
      <c r="DD32" s="120">
        <v>0</v>
      </c>
      <c r="DE32" s="120">
        <v>0</v>
      </c>
      <c r="DF32" s="120">
        <v>0</v>
      </c>
      <c r="DG32" s="120">
        <v>0</v>
      </c>
      <c r="DH32" s="120">
        <v>0</v>
      </c>
      <c r="DI32" s="120">
        <v>0</v>
      </c>
      <c r="DJ32" s="120">
        <v>0</v>
      </c>
      <c r="DK32" s="120">
        <v>0</v>
      </c>
      <c r="DL32" s="117">
        <f t="shared" si="7"/>
        <v>0</v>
      </c>
      <c r="DM32" s="120"/>
      <c r="DN32" s="120">
        <v>0</v>
      </c>
      <c r="DO32" s="120">
        <v>0</v>
      </c>
      <c r="DP32" s="120">
        <v>0</v>
      </c>
      <c r="DQ32" s="120">
        <v>0</v>
      </c>
      <c r="DR32" s="120">
        <v>0</v>
      </c>
      <c r="DS32" s="120">
        <v>0</v>
      </c>
      <c r="DT32" s="120">
        <v>0</v>
      </c>
      <c r="DU32" s="120">
        <v>0</v>
      </c>
      <c r="DV32" s="120">
        <v>0</v>
      </c>
      <c r="DW32" s="120">
        <v>0</v>
      </c>
      <c r="DX32" s="120">
        <v>0</v>
      </c>
      <c r="DY32" s="117">
        <f t="shared" si="8"/>
        <v>0</v>
      </c>
      <c r="DZ32" s="116"/>
      <c r="EA32" s="121">
        <f t="shared" si="16"/>
        <v>1603013</v>
      </c>
      <c r="EB32" s="121">
        <f t="shared" si="16"/>
        <v>1324960</v>
      </c>
      <c r="EC32" s="121">
        <f t="shared" si="16"/>
        <v>1217407</v>
      </c>
      <c r="ED32" s="116"/>
      <c r="EE32" s="121" t="str">
        <f t="shared" si="10"/>
        <v/>
      </c>
      <c r="EF32" s="118" t="str">
        <f t="shared" si="11"/>
        <v/>
      </c>
      <c r="EG32" s="118" t="str">
        <f t="shared" si="12"/>
        <v/>
      </c>
      <c r="EH32" s="116"/>
      <c r="EI32" s="120">
        <v>28503743</v>
      </c>
      <c r="EJ32" s="120">
        <v>28503743</v>
      </c>
      <c r="EK32" s="120">
        <v>0</v>
      </c>
      <c r="EL32" s="120">
        <v>0</v>
      </c>
      <c r="EM32" s="120">
        <v>0</v>
      </c>
      <c r="EN32" s="117">
        <f t="shared" si="13"/>
        <v>28503743</v>
      </c>
      <c r="EO32" s="120">
        <v>27026816</v>
      </c>
      <c r="EP32" s="120">
        <v>27026816</v>
      </c>
      <c r="EQ32" s="120">
        <v>0</v>
      </c>
      <c r="ER32" s="120">
        <v>0</v>
      </c>
      <c r="ES32" s="120">
        <v>0</v>
      </c>
      <c r="ET32" s="117">
        <f t="shared" si="14"/>
        <v>27026816</v>
      </c>
      <c r="EU32" s="120">
        <v>25651317</v>
      </c>
      <c r="EV32" s="120">
        <v>25651317</v>
      </c>
      <c r="EW32" s="120">
        <v>0</v>
      </c>
      <c r="EX32" s="120">
        <v>0</v>
      </c>
      <c r="EY32" s="120">
        <v>0</v>
      </c>
      <c r="EZ32" s="117">
        <f t="shared" si="15"/>
        <v>25651317</v>
      </c>
    </row>
    <row r="33" spans="1:156" x14ac:dyDescent="0.4">
      <c r="A33" s="116" t="s">
        <v>336</v>
      </c>
      <c r="B33" s="119">
        <v>4057082</v>
      </c>
      <c r="C33" s="116" t="s">
        <v>50</v>
      </c>
      <c r="D33" s="120">
        <v>1370540</v>
      </c>
      <c r="E33" s="120">
        <v>236643</v>
      </c>
      <c r="F33" s="120">
        <v>0</v>
      </c>
      <c r="G33" s="120">
        <v>1216232</v>
      </c>
      <c r="H33" s="120">
        <v>168196</v>
      </c>
      <c r="I33" s="120">
        <v>0</v>
      </c>
      <c r="J33" s="120">
        <v>1112858</v>
      </c>
      <c r="K33" s="120">
        <v>161310</v>
      </c>
      <c r="L33" s="120">
        <v>0</v>
      </c>
      <c r="M33" s="120"/>
      <c r="N33" s="120">
        <v>811479</v>
      </c>
      <c r="O33" s="120">
        <v>72038</v>
      </c>
      <c r="P33" s="120">
        <v>157894</v>
      </c>
      <c r="Q33" s="120">
        <v>0</v>
      </c>
      <c r="R33" s="120">
        <v>20354</v>
      </c>
      <c r="S33" s="120">
        <v>927</v>
      </c>
      <c r="T33" s="120">
        <v>0</v>
      </c>
      <c r="U33" s="120">
        <v>0</v>
      </c>
      <c r="V33" s="120">
        <v>34704</v>
      </c>
      <c r="W33" s="120">
        <v>2645</v>
      </c>
      <c r="X33" s="120">
        <v>58429</v>
      </c>
      <c r="Y33" s="117">
        <f t="shared" si="0"/>
        <v>217360</v>
      </c>
      <c r="Z33" s="120"/>
      <c r="AA33" s="120">
        <v>684984</v>
      </c>
      <c r="AB33" s="120">
        <v>74259</v>
      </c>
      <c r="AC33" s="120">
        <v>140245</v>
      </c>
      <c r="AD33" s="120">
        <v>0</v>
      </c>
      <c r="AE33" s="120">
        <v>14467</v>
      </c>
      <c r="AF33" s="120">
        <v>1854</v>
      </c>
      <c r="AG33" s="120">
        <v>0</v>
      </c>
      <c r="AH33" s="120">
        <v>0</v>
      </c>
      <c r="AI33" s="120">
        <v>29903</v>
      </c>
      <c r="AJ33" s="120">
        <v>-1327</v>
      </c>
      <c r="AK33" s="120">
        <v>55580</v>
      </c>
      <c r="AL33" s="117">
        <f t="shared" si="1"/>
        <v>213613</v>
      </c>
      <c r="AM33" s="120"/>
      <c r="AN33" s="120">
        <v>657905</v>
      </c>
      <c r="AO33" s="120">
        <v>90126</v>
      </c>
      <c r="AP33" s="120">
        <v>132978</v>
      </c>
      <c r="AQ33" s="120">
        <v>0</v>
      </c>
      <c r="AR33" s="120">
        <v>9532</v>
      </c>
      <c r="AS33" s="120">
        <v>1854</v>
      </c>
      <c r="AT33" s="120">
        <v>0</v>
      </c>
      <c r="AU33" s="120">
        <v>0</v>
      </c>
      <c r="AV33" s="120">
        <v>17329</v>
      </c>
      <c r="AW33" s="120">
        <v>6778</v>
      </c>
      <c r="AX33" s="120">
        <v>53090</v>
      </c>
      <c r="AY33" s="117">
        <f t="shared" si="2"/>
        <v>156822</v>
      </c>
      <c r="AZ33" s="120"/>
      <c r="BA33" s="120">
        <v>175990</v>
      </c>
      <c r="BB33" s="120">
        <v>6548</v>
      </c>
      <c r="BC33" s="120">
        <v>13296</v>
      </c>
      <c r="BD33" s="120">
        <v>0</v>
      </c>
      <c r="BE33" s="120">
        <v>2720</v>
      </c>
      <c r="BF33" s="120">
        <v>0</v>
      </c>
      <c r="BG33" s="120">
        <v>0</v>
      </c>
      <c r="BH33" s="120">
        <v>0</v>
      </c>
      <c r="BI33" s="120">
        <v>-97</v>
      </c>
      <c r="BJ33" s="120">
        <v>0</v>
      </c>
      <c r="BK33" s="120">
        <v>12300</v>
      </c>
      <c r="BL33" s="117">
        <f t="shared" si="3"/>
        <v>25886</v>
      </c>
      <c r="BM33" s="120"/>
      <c r="BN33" s="120">
        <v>118759</v>
      </c>
      <c r="BO33" s="120">
        <v>6760</v>
      </c>
      <c r="BP33" s="120">
        <v>12595</v>
      </c>
      <c r="BQ33" s="120">
        <v>0</v>
      </c>
      <c r="BR33" s="120">
        <v>1840</v>
      </c>
      <c r="BS33" s="120">
        <v>0</v>
      </c>
      <c r="BT33" s="120">
        <v>0</v>
      </c>
      <c r="BU33" s="120">
        <v>0</v>
      </c>
      <c r="BV33" s="120">
        <v>1177</v>
      </c>
      <c r="BW33" s="120">
        <v>525</v>
      </c>
      <c r="BX33" s="120">
        <v>11211</v>
      </c>
      <c r="BY33" s="117">
        <f t="shared" si="4"/>
        <v>16379</v>
      </c>
      <c r="BZ33" s="120"/>
      <c r="CA33" s="120">
        <v>112820</v>
      </c>
      <c r="CB33" s="120">
        <v>10091</v>
      </c>
      <c r="CC33" s="120">
        <v>11831</v>
      </c>
      <c r="CD33" s="120">
        <v>0</v>
      </c>
      <c r="CE33" s="120">
        <v>1371</v>
      </c>
      <c r="CF33" s="120">
        <v>0</v>
      </c>
      <c r="CG33" s="120">
        <v>0</v>
      </c>
      <c r="CH33" s="120">
        <v>0</v>
      </c>
      <c r="CI33" s="120">
        <v>525</v>
      </c>
      <c r="CJ33" s="120">
        <v>701</v>
      </c>
      <c r="CK33" s="120">
        <v>10542</v>
      </c>
      <c r="CL33" s="117">
        <f t="shared" si="5"/>
        <v>14831</v>
      </c>
      <c r="CM33" s="120"/>
      <c r="CN33" s="120">
        <v>0</v>
      </c>
      <c r="CO33" s="120">
        <v>0</v>
      </c>
      <c r="CP33" s="120">
        <v>0</v>
      </c>
      <c r="CQ33" s="120">
        <v>0</v>
      </c>
      <c r="CR33" s="120">
        <v>0</v>
      </c>
      <c r="CS33" s="120">
        <v>0</v>
      </c>
      <c r="CT33" s="120">
        <v>0</v>
      </c>
      <c r="CU33" s="120">
        <v>0</v>
      </c>
      <c r="CV33" s="120">
        <v>0</v>
      </c>
      <c r="CW33" s="120">
        <v>0</v>
      </c>
      <c r="CX33" s="120">
        <v>0</v>
      </c>
      <c r="CY33" s="117">
        <f t="shared" si="6"/>
        <v>0</v>
      </c>
      <c r="CZ33" s="120"/>
      <c r="DA33" s="120">
        <v>0</v>
      </c>
      <c r="DB33" s="120">
        <v>0</v>
      </c>
      <c r="DC33" s="120">
        <v>0</v>
      </c>
      <c r="DD33" s="120">
        <v>0</v>
      </c>
      <c r="DE33" s="120">
        <v>0</v>
      </c>
      <c r="DF33" s="120">
        <v>0</v>
      </c>
      <c r="DG33" s="120">
        <v>0</v>
      </c>
      <c r="DH33" s="120">
        <v>0</v>
      </c>
      <c r="DI33" s="120">
        <v>0</v>
      </c>
      <c r="DJ33" s="120">
        <v>0</v>
      </c>
      <c r="DK33" s="120">
        <v>0</v>
      </c>
      <c r="DL33" s="117">
        <f t="shared" si="7"/>
        <v>0</v>
      </c>
      <c r="DM33" s="120"/>
      <c r="DN33" s="120">
        <v>0</v>
      </c>
      <c r="DO33" s="120">
        <v>0</v>
      </c>
      <c r="DP33" s="120">
        <v>0</v>
      </c>
      <c r="DQ33" s="120">
        <v>0</v>
      </c>
      <c r="DR33" s="120">
        <v>0</v>
      </c>
      <c r="DS33" s="120">
        <v>0</v>
      </c>
      <c r="DT33" s="120">
        <v>0</v>
      </c>
      <c r="DU33" s="120">
        <v>0</v>
      </c>
      <c r="DV33" s="120">
        <v>0</v>
      </c>
      <c r="DW33" s="120">
        <v>0</v>
      </c>
      <c r="DX33" s="120">
        <v>0</v>
      </c>
      <c r="DY33" s="117">
        <f t="shared" si="8"/>
        <v>0</v>
      </c>
      <c r="DZ33" s="116"/>
      <c r="EA33" s="121">
        <f t="shared" si="16"/>
        <v>243246</v>
      </c>
      <c r="EB33" s="121">
        <f t="shared" si="16"/>
        <v>229992</v>
      </c>
      <c r="EC33" s="121">
        <f t="shared" si="16"/>
        <v>171653</v>
      </c>
      <c r="ED33" s="116"/>
      <c r="EE33" s="121" t="str">
        <f t="shared" si="10"/>
        <v/>
      </c>
      <c r="EF33" s="118" t="str">
        <f t="shared" si="11"/>
        <v/>
      </c>
      <c r="EG33" s="118" t="str">
        <f t="shared" si="12"/>
        <v/>
      </c>
      <c r="EH33" s="116"/>
      <c r="EI33" s="120">
        <v>4832720</v>
      </c>
      <c r="EJ33" s="120">
        <v>4127051</v>
      </c>
      <c r="EK33" s="120">
        <v>615051</v>
      </c>
      <c r="EL33" s="120">
        <v>0</v>
      </c>
      <c r="EM33" s="120">
        <v>90618</v>
      </c>
      <c r="EN33" s="117">
        <f t="shared" si="13"/>
        <v>4742102</v>
      </c>
      <c r="EO33" s="120">
        <v>4565640</v>
      </c>
      <c r="EP33" s="120">
        <v>3889647</v>
      </c>
      <c r="EQ33" s="120">
        <v>571544</v>
      </c>
      <c r="ER33" s="120">
        <v>0</v>
      </c>
      <c r="ES33" s="120">
        <v>104449</v>
      </c>
      <c r="ET33" s="117">
        <f t="shared" si="14"/>
        <v>4461191</v>
      </c>
      <c r="EU33" s="120">
        <v>4310956</v>
      </c>
      <c r="EV33" s="120">
        <v>3702964</v>
      </c>
      <c r="EW33" s="120">
        <v>523502</v>
      </c>
      <c r="EX33" s="120">
        <v>0</v>
      </c>
      <c r="EY33" s="120">
        <v>84489</v>
      </c>
      <c r="EZ33" s="117">
        <f t="shared" si="15"/>
        <v>4226466</v>
      </c>
    </row>
    <row r="34" spans="1:156" x14ac:dyDescent="0.4">
      <c r="A34" s="116" t="s">
        <v>337</v>
      </c>
      <c r="B34" s="119">
        <v>4062222</v>
      </c>
      <c r="C34" s="116" t="s">
        <v>50</v>
      </c>
      <c r="D34" s="120">
        <v>3165347</v>
      </c>
      <c r="E34" s="120">
        <v>738181</v>
      </c>
      <c r="F34" s="120">
        <v>0</v>
      </c>
      <c r="G34" s="120">
        <v>2657953</v>
      </c>
      <c r="H34" s="120">
        <v>538919</v>
      </c>
      <c r="I34" s="120">
        <v>0</v>
      </c>
      <c r="J34" s="120">
        <v>2542766</v>
      </c>
      <c r="K34" s="120">
        <v>515136</v>
      </c>
      <c r="L34" s="120">
        <v>0</v>
      </c>
      <c r="M34" s="120"/>
      <c r="N34" s="120">
        <v>1742368</v>
      </c>
      <c r="O34" s="120">
        <v>254444</v>
      </c>
      <c r="P34" s="120">
        <v>237368</v>
      </c>
      <c r="Q34" s="120">
        <v>16</v>
      </c>
      <c r="R34" s="120">
        <v>46333</v>
      </c>
      <c r="S34" s="120">
        <v>0</v>
      </c>
      <c r="T34" s="120">
        <v>0</v>
      </c>
      <c r="U34" s="120">
        <v>0</v>
      </c>
      <c r="V34" s="120">
        <v>11196</v>
      </c>
      <c r="W34" s="120">
        <v>0</v>
      </c>
      <c r="X34" s="120">
        <v>193961</v>
      </c>
      <c r="Y34" s="117">
        <f t="shared" si="0"/>
        <v>679661</v>
      </c>
      <c r="Z34" s="120"/>
      <c r="AA34" s="120">
        <v>1414985</v>
      </c>
      <c r="AB34" s="120">
        <v>261451</v>
      </c>
      <c r="AC34" s="120">
        <v>223013</v>
      </c>
      <c r="AD34" s="120">
        <v>16</v>
      </c>
      <c r="AE34" s="120">
        <v>43822</v>
      </c>
      <c r="AF34" s="120">
        <v>0</v>
      </c>
      <c r="AG34" s="120">
        <v>0</v>
      </c>
      <c r="AH34" s="120">
        <v>0</v>
      </c>
      <c r="AI34" s="120">
        <v>3647</v>
      </c>
      <c r="AJ34" s="120">
        <v>0</v>
      </c>
      <c r="AK34" s="120">
        <v>174067</v>
      </c>
      <c r="AL34" s="117">
        <f t="shared" si="1"/>
        <v>536952</v>
      </c>
      <c r="AM34" s="120"/>
      <c r="AN34" s="120">
        <v>1352719</v>
      </c>
      <c r="AO34" s="120">
        <v>316054</v>
      </c>
      <c r="AP34" s="120">
        <v>211593</v>
      </c>
      <c r="AQ34" s="120">
        <v>5</v>
      </c>
      <c r="AR34" s="120">
        <v>43192</v>
      </c>
      <c r="AS34" s="120">
        <v>0</v>
      </c>
      <c r="AT34" s="120">
        <v>0</v>
      </c>
      <c r="AU34" s="120">
        <v>0</v>
      </c>
      <c r="AV34" s="120">
        <v>15970</v>
      </c>
      <c r="AW34" s="120">
        <v>0</v>
      </c>
      <c r="AX34" s="120">
        <v>164002</v>
      </c>
      <c r="AY34" s="117">
        <f t="shared" si="2"/>
        <v>439231</v>
      </c>
      <c r="AZ34" s="120"/>
      <c r="BA34" s="120">
        <v>449624</v>
      </c>
      <c r="BB34" s="120">
        <v>35150</v>
      </c>
      <c r="BC34" s="120">
        <v>69269</v>
      </c>
      <c r="BD34" s="120">
        <v>7</v>
      </c>
      <c r="BE34" s="120">
        <v>10901</v>
      </c>
      <c r="BF34" s="120">
        <v>0</v>
      </c>
      <c r="BG34" s="120">
        <v>0</v>
      </c>
      <c r="BH34" s="120">
        <v>0</v>
      </c>
      <c r="BI34" s="120">
        <v>492</v>
      </c>
      <c r="BJ34" s="120">
        <v>0</v>
      </c>
      <c r="BK34" s="120">
        <v>7750</v>
      </c>
      <c r="BL34" s="117">
        <f t="shared" si="3"/>
        <v>164988</v>
      </c>
      <c r="BM34" s="120"/>
      <c r="BN34" s="120">
        <v>294791</v>
      </c>
      <c r="BO34" s="120">
        <v>34191</v>
      </c>
      <c r="BP34" s="120">
        <v>63180</v>
      </c>
      <c r="BQ34" s="120">
        <v>8</v>
      </c>
      <c r="BR34" s="120">
        <v>9743</v>
      </c>
      <c r="BS34" s="120">
        <v>0</v>
      </c>
      <c r="BT34" s="120">
        <v>0</v>
      </c>
      <c r="BU34" s="120">
        <v>0</v>
      </c>
      <c r="BV34" s="120">
        <v>3272</v>
      </c>
      <c r="BW34" s="120">
        <v>0</v>
      </c>
      <c r="BX34" s="120">
        <v>9753</v>
      </c>
      <c r="BY34" s="117">
        <f t="shared" si="4"/>
        <v>123981</v>
      </c>
      <c r="BZ34" s="120"/>
      <c r="CA34" s="120">
        <v>282166</v>
      </c>
      <c r="CB34" s="120">
        <v>33560</v>
      </c>
      <c r="CC34" s="120">
        <v>59695</v>
      </c>
      <c r="CD34" s="120">
        <v>8</v>
      </c>
      <c r="CE34" s="120">
        <v>9207</v>
      </c>
      <c r="CF34" s="120">
        <v>0</v>
      </c>
      <c r="CG34" s="120">
        <v>0</v>
      </c>
      <c r="CH34" s="120">
        <v>0</v>
      </c>
      <c r="CI34" s="120">
        <v>5982</v>
      </c>
      <c r="CJ34" s="120">
        <v>0</v>
      </c>
      <c r="CK34" s="120">
        <v>7976</v>
      </c>
      <c r="CL34" s="117">
        <f t="shared" si="5"/>
        <v>116542</v>
      </c>
      <c r="CM34" s="120"/>
      <c r="CN34" s="120">
        <v>0</v>
      </c>
      <c r="CO34" s="120">
        <v>0</v>
      </c>
      <c r="CP34" s="120">
        <v>0</v>
      </c>
      <c r="CQ34" s="120">
        <v>0</v>
      </c>
      <c r="CR34" s="120">
        <v>0</v>
      </c>
      <c r="CS34" s="120">
        <v>0</v>
      </c>
      <c r="CT34" s="120">
        <v>0</v>
      </c>
      <c r="CU34" s="120">
        <v>0</v>
      </c>
      <c r="CV34" s="120">
        <v>0</v>
      </c>
      <c r="CW34" s="120">
        <v>0</v>
      </c>
      <c r="CX34" s="120">
        <v>0</v>
      </c>
      <c r="CY34" s="117">
        <f t="shared" si="6"/>
        <v>0</v>
      </c>
      <c r="CZ34" s="120"/>
      <c r="DA34" s="120">
        <v>0</v>
      </c>
      <c r="DB34" s="120">
        <v>0</v>
      </c>
      <c r="DC34" s="120">
        <v>0</v>
      </c>
      <c r="DD34" s="120">
        <v>0</v>
      </c>
      <c r="DE34" s="120">
        <v>0</v>
      </c>
      <c r="DF34" s="120">
        <v>0</v>
      </c>
      <c r="DG34" s="120">
        <v>0</v>
      </c>
      <c r="DH34" s="120">
        <v>0</v>
      </c>
      <c r="DI34" s="120">
        <v>0</v>
      </c>
      <c r="DJ34" s="120">
        <v>0</v>
      </c>
      <c r="DK34" s="120">
        <v>0</v>
      </c>
      <c r="DL34" s="117">
        <f t="shared" si="7"/>
        <v>0</v>
      </c>
      <c r="DM34" s="120"/>
      <c r="DN34" s="120">
        <v>0</v>
      </c>
      <c r="DO34" s="120">
        <v>0</v>
      </c>
      <c r="DP34" s="120">
        <v>0</v>
      </c>
      <c r="DQ34" s="120">
        <v>0</v>
      </c>
      <c r="DR34" s="120">
        <v>0</v>
      </c>
      <c r="DS34" s="120">
        <v>0</v>
      </c>
      <c r="DT34" s="120">
        <v>0</v>
      </c>
      <c r="DU34" s="120">
        <v>0</v>
      </c>
      <c r="DV34" s="120">
        <v>0</v>
      </c>
      <c r="DW34" s="120">
        <v>0</v>
      </c>
      <c r="DX34" s="120">
        <v>0</v>
      </c>
      <c r="DY34" s="117">
        <f t="shared" si="8"/>
        <v>0</v>
      </c>
      <c r="DZ34" s="116"/>
      <c r="EA34" s="121">
        <f t="shared" si="16"/>
        <v>844649</v>
      </c>
      <c r="EB34" s="121">
        <f t="shared" si="16"/>
        <v>660933</v>
      </c>
      <c r="EC34" s="121">
        <f t="shared" si="16"/>
        <v>555773</v>
      </c>
      <c r="ED34" s="116"/>
      <c r="EE34" s="121" t="str">
        <f t="shared" si="10"/>
        <v/>
      </c>
      <c r="EF34" s="118" t="str">
        <f t="shared" si="11"/>
        <v/>
      </c>
      <c r="EG34" s="118" t="str">
        <f t="shared" si="12"/>
        <v/>
      </c>
      <c r="EH34" s="116"/>
      <c r="EI34" s="120">
        <v>12133259</v>
      </c>
      <c r="EJ34" s="120">
        <v>8516432</v>
      </c>
      <c r="EK34" s="120">
        <v>2862817</v>
      </c>
      <c r="EL34" s="120">
        <v>0</v>
      </c>
      <c r="EM34" s="120">
        <v>754009</v>
      </c>
      <c r="EN34" s="117">
        <f t="shared" si="13"/>
        <v>11379249</v>
      </c>
      <c r="EO34" s="120">
        <v>11119892</v>
      </c>
      <c r="EP34" s="120">
        <v>7843424</v>
      </c>
      <c r="EQ34" s="120">
        <v>2614232</v>
      </c>
      <c r="ER34" s="120">
        <v>0</v>
      </c>
      <c r="ES34" s="120">
        <v>662236</v>
      </c>
      <c r="ET34" s="117">
        <f t="shared" si="14"/>
        <v>10457656</v>
      </c>
      <c r="EU34" s="120">
        <v>10181044</v>
      </c>
      <c r="EV34" s="120">
        <v>7241122</v>
      </c>
      <c r="EW34" s="120">
        <v>2337962</v>
      </c>
      <c r="EX34" s="120">
        <v>0</v>
      </c>
      <c r="EY34" s="120">
        <v>601960</v>
      </c>
      <c r="EZ34" s="117">
        <f t="shared" si="15"/>
        <v>9579084</v>
      </c>
    </row>
    <row r="35" spans="1:156" x14ac:dyDescent="0.4">
      <c r="A35" s="116" t="s">
        <v>338</v>
      </c>
      <c r="B35" s="119">
        <v>4044391</v>
      </c>
      <c r="C35" s="116" t="s">
        <v>50</v>
      </c>
      <c r="D35" s="120">
        <v>2567875</v>
      </c>
      <c r="E35" s="120">
        <v>0</v>
      </c>
      <c r="F35" s="120">
        <v>0</v>
      </c>
      <c r="G35" s="120">
        <v>2291756</v>
      </c>
      <c r="H35" s="120">
        <v>0</v>
      </c>
      <c r="I35" s="120">
        <v>0</v>
      </c>
      <c r="J35" s="120">
        <v>2156708</v>
      </c>
      <c r="K35" s="120">
        <v>0</v>
      </c>
      <c r="L35" s="120">
        <v>0</v>
      </c>
      <c r="M35" s="120"/>
      <c r="N35" s="120">
        <v>1287997</v>
      </c>
      <c r="O35" s="120">
        <v>117132</v>
      </c>
      <c r="P35" s="120">
        <v>255920</v>
      </c>
      <c r="Q35" s="120">
        <v>0</v>
      </c>
      <c r="R35" s="120">
        <v>33935</v>
      </c>
      <c r="S35" s="120">
        <v>0</v>
      </c>
      <c r="T35" s="120">
        <v>0</v>
      </c>
      <c r="U35" s="120">
        <v>123</v>
      </c>
      <c r="V35" s="120">
        <v>74741</v>
      </c>
      <c r="W35" s="120">
        <v>0</v>
      </c>
      <c r="X35" s="120">
        <v>381559</v>
      </c>
      <c r="Y35" s="117">
        <f t="shared" si="0"/>
        <v>416468</v>
      </c>
      <c r="Z35" s="120"/>
      <c r="AA35" s="120">
        <v>1029601</v>
      </c>
      <c r="AB35" s="120">
        <v>109573</v>
      </c>
      <c r="AC35" s="120">
        <v>250918</v>
      </c>
      <c r="AD35" s="120">
        <v>0</v>
      </c>
      <c r="AE35" s="120">
        <v>24210</v>
      </c>
      <c r="AF35" s="120">
        <v>0</v>
      </c>
      <c r="AG35" s="120">
        <v>0</v>
      </c>
      <c r="AH35" s="120">
        <v>123</v>
      </c>
      <c r="AI35" s="120">
        <v>88524</v>
      </c>
      <c r="AJ35" s="120">
        <v>5898</v>
      </c>
      <c r="AK35" s="120">
        <v>372092</v>
      </c>
      <c r="AL35" s="117">
        <f t="shared" si="1"/>
        <v>422613</v>
      </c>
      <c r="AM35" s="120"/>
      <c r="AN35" s="120">
        <v>973114</v>
      </c>
      <c r="AO35" s="120">
        <v>103143</v>
      </c>
      <c r="AP35" s="120">
        <v>241193</v>
      </c>
      <c r="AQ35" s="120">
        <v>0</v>
      </c>
      <c r="AR35" s="120">
        <v>16715</v>
      </c>
      <c r="AS35" s="120">
        <v>0</v>
      </c>
      <c r="AT35" s="120">
        <v>0</v>
      </c>
      <c r="AU35" s="120">
        <v>123</v>
      </c>
      <c r="AV35" s="120">
        <v>107966</v>
      </c>
      <c r="AW35" s="120">
        <v>14245</v>
      </c>
      <c r="AX35" s="120">
        <v>366137</v>
      </c>
      <c r="AY35" s="117">
        <f t="shared" si="2"/>
        <v>362562</v>
      </c>
      <c r="AZ35" s="120"/>
      <c r="BA35" s="120">
        <v>0</v>
      </c>
      <c r="BB35" s="120">
        <v>0</v>
      </c>
      <c r="BC35" s="120">
        <v>0</v>
      </c>
      <c r="BD35" s="120">
        <v>0</v>
      </c>
      <c r="BE35" s="120">
        <v>0</v>
      </c>
      <c r="BF35" s="120">
        <v>0</v>
      </c>
      <c r="BG35" s="120">
        <v>0</v>
      </c>
      <c r="BH35" s="120">
        <v>0</v>
      </c>
      <c r="BI35" s="120">
        <v>0</v>
      </c>
      <c r="BJ35" s="120">
        <v>0</v>
      </c>
      <c r="BK35" s="120">
        <v>0</v>
      </c>
      <c r="BL35" s="117">
        <f t="shared" si="3"/>
        <v>0</v>
      </c>
      <c r="BM35" s="120"/>
      <c r="BN35" s="120">
        <v>0</v>
      </c>
      <c r="BO35" s="120">
        <v>0</v>
      </c>
      <c r="BP35" s="120">
        <v>0</v>
      </c>
      <c r="BQ35" s="120">
        <v>0</v>
      </c>
      <c r="BR35" s="120">
        <v>0</v>
      </c>
      <c r="BS35" s="120">
        <v>0</v>
      </c>
      <c r="BT35" s="120">
        <v>0</v>
      </c>
      <c r="BU35" s="120">
        <v>0</v>
      </c>
      <c r="BV35" s="120">
        <v>0</v>
      </c>
      <c r="BW35" s="120">
        <v>0</v>
      </c>
      <c r="BX35" s="120">
        <v>0</v>
      </c>
      <c r="BY35" s="117">
        <f t="shared" si="4"/>
        <v>0</v>
      </c>
      <c r="BZ35" s="120"/>
      <c r="CA35" s="120">
        <v>0</v>
      </c>
      <c r="CB35" s="120">
        <v>0</v>
      </c>
      <c r="CC35" s="120">
        <v>0</v>
      </c>
      <c r="CD35" s="120">
        <v>0</v>
      </c>
      <c r="CE35" s="120">
        <v>0</v>
      </c>
      <c r="CF35" s="120">
        <v>0</v>
      </c>
      <c r="CG35" s="120">
        <v>0</v>
      </c>
      <c r="CH35" s="120">
        <v>0</v>
      </c>
      <c r="CI35" s="120">
        <v>0</v>
      </c>
      <c r="CJ35" s="120">
        <v>0</v>
      </c>
      <c r="CK35" s="120">
        <v>0</v>
      </c>
      <c r="CL35" s="117">
        <f t="shared" si="5"/>
        <v>0</v>
      </c>
      <c r="CM35" s="120"/>
      <c r="CN35" s="120">
        <v>0</v>
      </c>
      <c r="CO35" s="120">
        <v>0</v>
      </c>
      <c r="CP35" s="120">
        <v>0</v>
      </c>
      <c r="CQ35" s="120">
        <v>0</v>
      </c>
      <c r="CR35" s="120">
        <v>0</v>
      </c>
      <c r="CS35" s="120">
        <v>0</v>
      </c>
      <c r="CT35" s="120">
        <v>0</v>
      </c>
      <c r="CU35" s="120">
        <v>0</v>
      </c>
      <c r="CV35" s="120">
        <v>0</v>
      </c>
      <c r="CW35" s="120">
        <v>0</v>
      </c>
      <c r="CX35" s="120">
        <v>0</v>
      </c>
      <c r="CY35" s="117">
        <f t="shared" si="6"/>
        <v>0</v>
      </c>
      <c r="CZ35" s="120"/>
      <c r="DA35" s="120">
        <v>0</v>
      </c>
      <c r="DB35" s="120">
        <v>0</v>
      </c>
      <c r="DC35" s="120">
        <v>0</v>
      </c>
      <c r="DD35" s="120">
        <v>0</v>
      </c>
      <c r="DE35" s="120">
        <v>0</v>
      </c>
      <c r="DF35" s="120">
        <v>0</v>
      </c>
      <c r="DG35" s="120">
        <v>0</v>
      </c>
      <c r="DH35" s="120">
        <v>0</v>
      </c>
      <c r="DI35" s="120">
        <v>0</v>
      </c>
      <c r="DJ35" s="120">
        <v>0</v>
      </c>
      <c r="DK35" s="120">
        <v>0</v>
      </c>
      <c r="DL35" s="117">
        <f t="shared" si="7"/>
        <v>0</v>
      </c>
      <c r="DM35" s="120"/>
      <c r="DN35" s="120">
        <v>0</v>
      </c>
      <c r="DO35" s="120">
        <v>0</v>
      </c>
      <c r="DP35" s="120">
        <v>0</v>
      </c>
      <c r="DQ35" s="120">
        <v>0</v>
      </c>
      <c r="DR35" s="120">
        <v>0</v>
      </c>
      <c r="DS35" s="120">
        <v>0</v>
      </c>
      <c r="DT35" s="120">
        <v>0</v>
      </c>
      <c r="DU35" s="120">
        <v>0</v>
      </c>
      <c r="DV35" s="120">
        <v>0</v>
      </c>
      <c r="DW35" s="120">
        <v>0</v>
      </c>
      <c r="DX35" s="120">
        <v>0</v>
      </c>
      <c r="DY35" s="117">
        <f t="shared" si="8"/>
        <v>0</v>
      </c>
      <c r="DZ35" s="116"/>
      <c r="EA35" s="121">
        <f t="shared" si="16"/>
        <v>416468</v>
      </c>
      <c r="EB35" s="121">
        <f t="shared" si="16"/>
        <v>422613</v>
      </c>
      <c r="EC35" s="121">
        <f t="shared" si="16"/>
        <v>362562</v>
      </c>
      <c r="ED35" s="116"/>
      <c r="EE35" s="121" t="str">
        <f t="shared" si="10"/>
        <v/>
      </c>
      <c r="EF35" s="118" t="str">
        <f t="shared" si="11"/>
        <v/>
      </c>
      <c r="EG35" s="118" t="str">
        <f t="shared" si="12"/>
        <v/>
      </c>
      <c r="EH35" s="116"/>
      <c r="EI35" s="120">
        <v>8906926</v>
      </c>
      <c r="EJ35" s="120">
        <v>8906926</v>
      </c>
      <c r="EK35" s="120">
        <v>0</v>
      </c>
      <c r="EL35" s="120">
        <v>0</v>
      </c>
      <c r="EM35" s="120">
        <v>0</v>
      </c>
      <c r="EN35" s="117">
        <f t="shared" si="13"/>
        <v>8906926</v>
      </c>
      <c r="EO35" s="120">
        <v>8216344</v>
      </c>
      <c r="EP35" s="120">
        <v>8216344</v>
      </c>
      <c r="EQ35" s="120">
        <v>0</v>
      </c>
      <c r="ER35" s="120">
        <v>0</v>
      </c>
      <c r="ES35" s="120">
        <v>0</v>
      </c>
      <c r="ET35" s="117">
        <f t="shared" si="14"/>
        <v>8216344</v>
      </c>
      <c r="EU35" s="120">
        <v>7583158</v>
      </c>
      <c r="EV35" s="120">
        <v>7583158</v>
      </c>
      <c r="EW35" s="120">
        <v>0</v>
      </c>
      <c r="EX35" s="120">
        <v>0</v>
      </c>
      <c r="EY35" s="120">
        <v>0</v>
      </c>
      <c r="EZ35" s="117">
        <f t="shared" si="15"/>
        <v>7583158</v>
      </c>
    </row>
    <row r="36" spans="1:156" x14ac:dyDescent="0.4">
      <c r="A36" s="116" t="s">
        <v>339</v>
      </c>
      <c r="B36" s="119">
        <v>4004218</v>
      </c>
      <c r="C36" s="116" t="s">
        <v>72</v>
      </c>
      <c r="D36" s="120">
        <v>19713571</v>
      </c>
      <c r="E36" s="120">
        <v>6867716</v>
      </c>
      <c r="F36" s="120">
        <v>0</v>
      </c>
      <c r="G36" s="120">
        <v>17897674</v>
      </c>
      <c r="H36" s="120">
        <v>5744838</v>
      </c>
      <c r="I36" s="120">
        <v>0</v>
      </c>
      <c r="J36" s="120">
        <v>15790806</v>
      </c>
      <c r="K36" s="120">
        <v>4836328</v>
      </c>
      <c r="L36" s="120">
        <v>0</v>
      </c>
      <c r="M36" s="120"/>
      <c r="N36" s="120">
        <v>13001613</v>
      </c>
      <c r="O36" s="120">
        <v>2670029</v>
      </c>
      <c r="P36" s="120">
        <v>2766533</v>
      </c>
      <c r="Q36" s="120">
        <v>0</v>
      </c>
      <c r="R36" s="120">
        <v>179548</v>
      </c>
      <c r="S36" s="120">
        <v>0</v>
      </c>
      <c r="T36" s="120">
        <v>13397</v>
      </c>
      <c r="U36" s="120">
        <v>0</v>
      </c>
      <c r="V36" s="120">
        <v>12060</v>
      </c>
      <c r="W36" s="120">
        <v>956230</v>
      </c>
      <c r="X36" s="120">
        <v>594298</v>
      </c>
      <c r="Y36" s="117">
        <f t="shared" si="0"/>
        <v>1432323</v>
      </c>
      <c r="Z36" s="120"/>
      <c r="AA36" s="120">
        <v>11393769</v>
      </c>
      <c r="AB36" s="120">
        <v>3008520</v>
      </c>
      <c r="AC36" s="120">
        <v>2406188</v>
      </c>
      <c r="AD36" s="120">
        <v>0</v>
      </c>
      <c r="AE36" s="120">
        <v>176191</v>
      </c>
      <c r="AF36" s="120">
        <v>0</v>
      </c>
      <c r="AG36" s="120">
        <v>13397</v>
      </c>
      <c r="AH36" s="120">
        <v>0</v>
      </c>
      <c r="AI36" s="120">
        <v>12060</v>
      </c>
      <c r="AJ36" s="120">
        <v>1080179</v>
      </c>
      <c r="AK36" s="120">
        <v>535652</v>
      </c>
      <c r="AL36" s="117">
        <f t="shared" si="1"/>
        <v>1432076</v>
      </c>
      <c r="AM36" s="120"/>
      <c r="AN36" s="120">
        <v>9856776</v>
      </c>
      <c r="AO36" s="120">
        <v>2673921</v>
      </c>
      <c r="AP36" s="120">
        <v>2461733</v>
      </c>
      <c r="AQ36" s="120">
        <v>0</v>
      </c>
      <c r="AR36" s="120">
        <v>192418</v>
      </c>
      <c r="AS36" s="120">
        <v>0</v>
      </c>
      <c r="AT36" s="120">
        <v>44859</v>
      </c>
      <c r="AU36" s="120">
        <v>0</v>
      </c>
      <c r="AV36" s="120">
        <v>12060</v>
      </c>
      <c r="AW36" s="120">
        <v>1014813</v>
      </c>
      <c r="AX36" s="120">
        <v>497930</v>
      </c>
      <c r="AY36" s="117">
        <f t="shared" si="2"/>
        <v>1065922</v>
      </c>
      <c r="AZ36" s="120"/>
      <c r="BA36" s="120">
        <v>4121412</v>
      </c>
      <c r="BB36" s="120">
        <v>492178</v>
      </c>
      <c r="BC36" s="120">
        <v>835683</v>
      </c>
      <c r="BD36" s="120">
        <v>0</v>
      </c>
      <c r="BE36" s="120">
        <v>65232</v>
      </c>
      <c r="BF36" s="120">
        <v>0</v>
      </c>
      <c r="BG36" s="120">
        <v>0</v>
      </c>
      <c r="BH36" s="120">
        <v>0</v>
      </c>
      <c r="BI36" s="120">
        <v>0</v>
      </c>
      <c r="BJ36" s="120">
        <v>116424</v>
      </c>
      <c r="BK36" s="120">
        <v>242837</v>
      </c>
      <c r="BL36" s="117">
        <f t="shared" si="3"/>
        <v>1226798</v>
      </c>
      <c r="BM36" s="120"/>
      <c r="BN36" s="120">
        <v>3301858</v>
      </c>
      <c r="BO36" s="120">
        <v>538439</v>
      </c>
      <c r="BP36" s="120">
        <v>739882</v>
      </c>
      <c r="BQ36" s="120">
        <v>0</v>
      </c>
      <c r="BR36" s="120">
        <v>65201</v>
      </c>
      <c r="BS36" s="120">
        <v>0</v>
      </c>
      <c r="BT36" s="120">
        <v>0</v>
      </c>
      <c r="BU36" s="120">
        <v>0</v>
      </c>
      <c r="BV36" s="120">
        <v>0</v>
      </c>
      <c r="BW36" s="120">
        <v>149013</v>
      </c>
      <c r="BX36" s="120">
        <v>222816</v>
      </c>
      <c r="BY36" s="117">
        <f t="shared" si="4"/>
        <v>1025655</v>
      </c>
      <c r="BZ36" s="120"/>
      <c r="CA36" s="120">
        <v>2594178</v>
      </c>
      <c r="CB36" s="120">
        <v>615772</v>
      </c>
      <c r="CC36" s="120">
        <v>690577</v>
      </c>
      <c r="CD36" s="120">
        <v>0</v>
      </c>
      <c r="CE36" s="120">
        <v>75764</v>
      </c>
      <c r="CF36" s="120">
        <v>0</v>
      </c>
      <c r="CG36" s="120">
        <v>0</v>
      </c>
      <c r="CH36" s="120">
        <v>0</v>
      </c>
      <c r="CI36" s="120">
        <v>0</v>
      </c>
      <c r="CJ36" s="120">
        <v>217217</v>
      </c>
      <c r="CK36" s="120">
        <v>190060</v>
      </c>
      <c r="CL36" s="117">
        <f t="shared" si="5"/>
        <v>887194</v>
      </c>
      <c r="CM36" s="120"/>
      <c r="CN36" s="120">
        <v>0</v>
      </c>
      <c r="CO36" s="120">
        <v>0</v>
      </c>
      <c r="CP36" s="120">
        <v>0</v>
      </c>
      <c r="CQ36" s="120">
        <v>0</v>
      </c>
      <c r="CR36" s="120">
        <v>0</v>
      </c>
      <c r="CS36" s="120">
        <v>0</v>
      </c>
      <c r="CT36" s="120">
        <v>0</v>
      </c>
      <c r="CU36" s="120">
        <v>0</v>
      </c>
      <c r="CV36" s="120">
        <v>0</v>
      </c>
      <c r="CW36" s="120">
        <v>0</v>
      </c>
      <c r="CX36" s="120">
        <v>0</v>
      </c>
      <c r="CY36" s="117">
        <f t="shared" si="6"/>
        <v>0</v>
      </c>
      <c r="CZ36" s="120"/>
      <c r="DA36" s="120">
        <v>0</v>
      </c>
      <c r="DB36" s="120">
        <v>0</v>
      </c>
      <c r="DC36" s="120">
        <v>0</v>
      </c>
      <c r="DD36" s="120">
        <v>0</v>
      </c>
      <c r="DE36" s="120">
        <v>0</v>
      </c>
      <c r="DF36" s="120">
        <v>0</v>
      </c>
      <c r="DG36" s="120">
        <v>0</v>
      </c>
      <c r="DH36" s="120">
        <v>0</v>
      </c>
      <c r="DI36" s="120">
        <v>0</v>
      </c>
      <c r="DJ36" s="120">
        <v>0</v>
      </c>
      <c r="DK36" s="120">
        <v>0</v>
      </c>
      <c r="DL36" s="117">
        <f t="shared" si="7"/>
        <v>0</v>
      </c>
      <c r="DM36" s="120"/>
      <c r="DN36" s="120">
        <v>0</v>
      </c>
      <c r="DO36" s="120">
        <v>0</v>
      </c>
      <c r="DP36" s="120">
        <v>0</v>
      </c>
      <c r="DQ36" s="120">
        <v>0</v>
      </c>
      <c r="DR36" s="120">
        <v>0</v>
      </c>
      <c r="DS36" s="120">
        <v>0</v>
      </c>
      <c r="DT36" s="120">
        <v>0</v>
      </c>
      <c r="DU36" s="120">
        <v>0</v>
      </c>
      <c r="DV36" s="120">
        <v>0</v>
      </c>
      <c r="DW36" s="120">
        <v>0</v>
      </c>
      <c r="DX36" s="120">
        <v>0</v>
      </c>
      <c r="DY36" s="117">
        <f t="shared" si="8"/>
        <v>0</v>
      </c>
      <c r="DZ36" s="116"/>
      <c r="EA36" s="121">
        <f t="shared" si="16"/>
        <v>2659121</v>
      </c>
      <c r="EB36" s="121">
        <f t="shared" si="16"/>
        <v>2457731</v>
      </c>
      <c r="EC36" s="121">
        <f t="shared" si="16"/>
        <v>1953116</v>
      </c>
      <c r="ED36" s="116"/>
      <c r="EE36" s="121" t="str">
        <f t="shared" si="10"/>
        <v/>
      </c>
      <c r="EF36" s="118" t="str">
        <f t="shared" si="11"/>
        <v/>
      </c>
      <c r="EG36" s="118" t="str">
        <f t="shared" si="12"/>
        <v/>
      </c>
      <c r="EH36" s="116"/>
      <c r="EI36" s="120">
        <v>69807481</v>
      </c>
      <c r="EJ36" s="120">
        <v>47262287</v>
      </c>
      <c r="EK36" s="120">
        <v>16759781</v>
      </c>
      <c r="EL36" s="120">
        <v>0</v>
      </c>
      <c r="EM36" s="120">
        <v>5785414</v>
      </c>
      <c r="EN36" s="117">
        <f t="shared" si="13"/>
        <v>64022068</v>
      </c>
      <c r="EO36" s="120">
        <v>63598114</v>
      </c>
      <c r="EP36" s="120">
        <v>43772671</v>
      </c>
      <c r="EQ36" s="120">
        <v>15004442</v>
      </c>
      <c r="ER36" s="120">
        <v>0</v>
      </c>
      <c r="ES36" s="120">
        <v>4821001</v>
      </c>
      <c r="ET36" s="117">
        <f t="shared" si="14"/>
        <v>58777113</v>
      </c>
      <c r="EU36" s="120">
        <v>60763641</v>
      </c>
      <c r="EV36" s="120">
        <v>42707184</v>
      </c>
      <c r="EW36" s="120">
        <v>13430637</v>
      </c>
      <c r="EX36" s="120">
        <v>0</v>
      </c>
      <c r="EY36" s="120">
        <v>4625819</v>
      </c>
      <c r="EZ36" s="117">
        <f t="shared" si="15"/>
        <v>56137821</v>
      </c>
    </row>
    <row r="37" spans="1:156" x14ac:dyDescent="0.4">
      <c r="A37" s="116" t="s">
        <v>340</v>
      </c>
      <c r="B37" s="119">
        <v>4042397</v>
      </c>
      <c r="C37" s="116" t="s">
        <v>81</v>
      </c>
      <c r="D37" s="120">
        <v>2074013</v>
      </c>
      <c r="E37" s="120">
        <v>0</v>
      </c>
      <c r="F37" s="120">
        <v>0</v>
      </c>
      <c r="G37" s="120">
        <v>1826528</v>
      </c>
      <c r="H37" s="120">
        <v>0</v>
      </c>
      <c r="I37" s="120">
        <v>0</v>
      </c>
      <c r="J37" s="120">
        <v>1690963</v>
      </c>
      <c r="K37" s="120">
        <v>0</v>
      </c>
      <c r="L37" s="120">
        <v>0</v>
      </c>
      <c r="M37" s="120"/>
      <c r="N37" s="120">
        <v>949624</v>
      </c>
      <c r="O37" s="120">
        <v>166704</v>
      </c>
      <c r="P37" s="120">
        <v>349895</v>
      </c>
      <c r="Q37" s="120">
        <v>0</v>
      </c>
      <c r="R37" s="120">
        <v>20054</v>
      </c>
      <c r="S37" s="120">
        <v>0</v>
      </c>
      <c r="T37" s="120">
        <v>0</v>
      </c>
      <c r="U37" s="120">
        <v>0</v>
      </c>
      <c r="V37" s="120">
        <v>16238</v>
      </c>
      <c r="W37" s="120">
        <v>410</v>
      </c>
      <c r="X37" s="120">
        <v>53570</v>
      </c>
      <c r="Y37" s="117">
        <f t="shared" si="0"/>
        <v>518338</v>
      </c>
      <c r="Z37" s="120"/>
      <c r="AA37" s="120">
        <v>781445</v>
      </c>
      <c r="AB37" s="120">
        <v>151249</v>
      </c>
      <c r="AC37" s="120">
        <v>332915</v>
      </c>
      <c r="AD37" s="120">
        <v>0</v>
      </c>
      <c r="AE37" s="120">
        <v>19155</v>
      </c>
      <c r="AF37" s="120">
        <v>0</v>
      </c>
      <c r="AG37" s="120">
        <v>0</v>
      </c>
      <c r="AH37" s="120">
        <v>0</v>
      </c>
      <c r="AI37" s="120">
        <v>14413</v>
      </c>
      <c r="AJ37" s="120">
        <v>13</v>
      </c>
      <c r="AK37" s="120">
        <v>51868</v>
      </c>
      <c r="AL37" s="117">
        <f t="shared" si="1"/>
        <v>475496</v>
      </c>
      <c r="AM37" s="120"/>
      <c r="AN37" s="120">
        <v>711096</v>
      </c>
      <c r="AO37" s="120">
        <v>132163</v>
      </c>
      <c r="AP37" s="120">
        <v>316986</v>
      </c>
      <c r="AQ37" s="120">
        <v>0</v>
      </c>
      <c r="AR37" s="120">
        <v>16566</v>
      </c>
      <c r="AS37" s="120">
        <v>0</v>
      </c>
      <c r="AT37" s="120">
        <v>0</v>
      </c>
      <c r="AU37" s="120">
        <v>0</v>
      </c>
      <c r="AV37" s="120">
        <v>12033</v>
      </c>
      <c r="AW37" s="120">
        <v>0</v>
      </c>
      <c r="AX37" s="120">
        <v>46543</v>
      </c>
      <c r="AY37" s="117">
        <f t="shared" si="2"/>
        <v>455576</v>
      </c>
      <c r="AZ37" s="120"/>
      <c r="BA37" s="120">
        <v>0</v>
      </c>
      <c r="BB37" s="120">
        <v>0</v>
      </c>
      <c r="BC37" s="120">
        <v>0</v>
      </c>
      <c r="BD37" s="120">
        <v>0</v>
      </c>
      <c r="BE37" s="120">
        <v>0</v>
      </c>
      <c r="BF37" s="120">
        <v>0</v>
      </c>
      <c r="BG37" s="120">
        <v>0</v>
      </c>
      <c r="BH37" s="120">
        <v>0</v>
      </c>
      <c r="BI37" s="120">
        <v>0</v>
      </c>
      <c r="BJ37" s="120">
        <v>0</v>
      </c>
      <c r="BK37" s="120">
        <v>0</v>
      </c>
      <c r="BL37" s="117">
        <f t="shared" si="3"/>
        <v>0</v>
      </c>
      <c r="BM37" s="120"/>
      <c r="BN37" s="120">
        <v>0</v>
      </c>
      <c r="BO37" s="120">
        <v>0</v>
      </c>
      <c r="BP37" s="120">
        <v>0</v>
      </c>
      <c r="BQ37" s="120">
        <v>0</v>
      </c>
      <c r="BR37" s="120">
        <v>0</v>
      </c>
      <c r="BS37" s="120">
        <v>0</v>
      </c>
      <c r="BT37" s="120">
        <v>0</v>
      </c>
      <c r="BU37" s="120">
        <v>0</v>
      </c>
      <c r="BV37" s="120">
        <v>0</v>
      </c>
      <c r="BW37" s="120">
        <v>0</v>
      </c>
      <c r="BX37" s="120">
        <v>0</v>
      </c>
      <c r="BY37" s="117">
        <f t="shared" si="4"/>
        <v>0</v>
      </c>
      <c r="BZ37" s="120"/>
      <c r="CA37" s="120">
        <v>0</v>
      </c>
      <c r="CB37" s="120">
        <v>0</v>
      </c>
      <c r="CC37" s="120">
        <v>0</v>
      </c>
      <c r="CD37" s="120">
        <v>0</v>
      </c>
      <c r="CE37" s="120">
        <v>0</v>
      </c>
      <c r="CF37" s="120">
        <v>0</v>
      </c>
      <c r="CG37" s="120">
        <v>0</v>
      </c>
      <c r="CH37" s="120">
        <v>0</v>
      </c>
      <c r="CI37" s="120">
        <v>0</v>
      </c>
      <c r="CJ37" s="120">
        <v>0</v>
      </c>
      <c r="CK37" s="120">
        <v>0</v>
      </c>
      <c r="CL37" s="117">
        <f t="shared" si="5"/>
        <v>0</v>
      </c>
      <c r="CM37" s="120"/>
      <c r="CN37" s="120">
        <v>0</v>
      </c>
      <c r="CO37" s="120">
        <v>0</v>
      </c>
      <c r="CP37" s="120">
        <v>0</v>
      </c>
      <c r="CQ37" s="120">
        <v>0</v>
      </c>
      <c r="CR37" s="120">
        <v>0</v>
      </c>
      <c r="CS37" s="120">
        <v>0</v>
      </c>
      <c r="CT37" s="120">
        <v>0</v>
      </c>
      <c r="CU37" s="120">
        <v>0</v>
      </c>
      <c r="CV37" s="120">
        <v>0</v>
      </c>
      <c r="CW37" s="120">
        <v>0</v>
      </c>
      <c r="CX37" s="120">
        <v>0</v>
      </c>
      <c r="CY37" s="117">
        <f t="shared" si="6"/>
        <v>0</v>
      </c>
      <c r="CZ37" s="120"/>
      <c r="DA37" s="120">
        <v>0</v>
      </c>
      <c r="DB37" s="120">
        <v>0</v>
      </c>
      <c r="DC37" s="120">
        <v>0</v>
      </c>
      <c r="DD37" s="120">
        <v>0</v>
      </c>
      <c r="DE37" s="120">
        <v>0</v>
      </c>
      <c r="DF37" s="120">
        <v>0</v>
      </c>
      <c r="DG37" s="120">
        <v>0</v>
      </c>
      <c r="DH37" s="120">
        <v>0</v>
      </c>
      <c r="DI37" s="120">
        <v>0</v>
      </c>
      <c r="DJ37" s="120">
        <v>0</v>
      </c>
      <c r="DK37" s="120">
        <v>0</v>
      </c>
      <c r="DL37" s="117">
        <f t="shared" si="7"/>
        <v>0</v>
      </c>
      <c r="DM37" s="120"/>
      <c r="DN37" s="120">
        <v>0</v>
      </c>
      <c r="DO37" s="120">
        <v>0</v>
      </c>
      <c r="DP37" s="120">
        <v>0</v>
      </c>
      <c r="DQ37" s="120">
        <v>0</v>
      </c>
      <c r="DR37" s="120">
        <v>0</v>
      </c>
      <c r="DS37" s="120">
        <v>0</v>
      </c>
      <c r="DT37" s="120">
        <v>0</v>
      </c>
      <c r="DU37" s="120">
        <v>0</v>
      </c>
      <c r="DV37" s="120">
        <v>0</v>
      </c>
      <c r="DW37" s="120">
        <v>0</v>
      </c>
      <c r="DX37" s="120">
        <v>0</v>
      </c>
      <c r="DY37" s="117">
        <f t="shared" si="8"/>
        <v>0</v>
      </c>
      <c r="DZ37" s="116"/>
      <c r="EA37" s="121">
        <f t="shared" si="16"/>
        <v>518338</v>
      </c>
      <c r="EB37" s="121">
        <f t="shared" si="16"/>
        <v>475496</v>
      </c>
      <c r="EC37" s="121">
        <f t="shared" si="16"/>
        <v>455576</v>
      </c>
      <c r="ED37" s="116"/>
      <c r="EE37" s="121" t="str">
        <f t="shared" si="10"/>
        <v/>
      </c>
      <c r="EF37" s="118" t="str">
        <f t="shared" si="11"/>
        <v/>
      </c>
      <c r="EG37" s="118" t="str">
        <f t="shared" si="12"/>
        <v/>
      </c>
      <c r="EH37" s="116"/>
      <c r="EI37" s="120">
        <v>7449103</v>
      </c>
      <c r="EJ37" s="120">
        <v>7449103</v>
      </c>
      <c r="EK37" s="120">
        <v>0</v>
      </c>
      <c r="EL37" s="120">
        <v>0</v>
      </c>
      <c r="EM37" s="120">
        <v>0</v>
      </c>
      <c r="EN37" s="117">
        <f t="shared" si="13"/>
        <v>7449103</v>
      </c>
      <c r="EO37" s="120">
        <v>7303863</v>
      </c>
      <c r="EP37" s="120">
        <v>7303863</v>
      </c>
      <c r="EQ37" s="120">
        <v>0</v>
      </c>
      <c r="ER37" s="120">
        <v>0</v>
      </c>
      <c r="ES37" s="120">
        <v>0</v>
      </c>
      <c r="ET37" s="117">
        <f t="shared" si="14"/>
        <v>7303863</v>
      </c>
      <c r="EU37" s="120">
        <v>7090110</v>
      </c>
      <c r="EV37" s="120">
        <v>7090110</v>
      </c>
      <c r="EW37" s="120">
        <v>0</v>
      </c>
      <c r="EX37" s="120">
        <v>0</v>
      </c>
      <c r="EY37" s="120">
        <v>0</v>
      </c>
      <c r="EZ37" s="117">
        <f t="shared" si="15"/>
        <v>7090110</v>
      </c>
    </row>
    <row r="38" spans="1:156" x14ac:dyDescent="0.4">
      <c r="A38" s="116" t="s">
        <v>341</v>
      </c>
      <c r="B38" s="119">
        <v>4057090</v>
      </c>
      <c r="C38" s="116" t="s">
        <v>81</v>
      </c>
      <c r="D38" s="120">
        <v>1324558</v>
      </c>
      <c r="E38" s="120">
        <v>485412</v>
      </c>
      <c r="F38" s="120">
        <v>0</v>
      </c>
      <c r="G38" s="120">
        <v>1195793</v>
      </c>
      <c r="H38" s="120">
        <v>361200</v>
      </c>
      <c r="I38" s="120">
        <v>0</v>
      </c>
      <c r="J38" s="120">
        <v>1139319</v>
      </c>
      <c r="K38" s="120">
        <v>323889</v>
      </c>
      <c r="L38" s="120">
        <v>0</v>
      </c>
      <c r="M38" s="120"/>
      <c r="N38" s="120">
        <v>616921</v>
      </c>
      <c r="O38" s="120">
        <v>97066</v>
      </c>
      <c r="P38" s="120">
        <v>231878</v>
      </c>
      <c r="Q38" s="120">
        <v>0</v>
      </c>
      <c r="R38" s="120">
        <v>14754</v>
      </c>
      <c r="S38" s="120">
        <v>0</v>
      </c>
      <c r="T38" s="120">
        <v>0</v>
      </c>
      <c r="U38" s="120">
        <v>0</v>
      </c>
      <c r="V38" s="120">
        <v>3061</v>
      </c>
      <c r="W38" s="120">
        <v>387</v>
      </c>
      <c r="X38" s="120">
        <v>41574</v>
      </c>
      <c r="Y38" s="117">
        <f t="shared" si="0"/>
        <v>319691</v>
      </c>
      <c r="Z38" s="120"/>
      <c r="AA38" s="120">
        <v>521630</v>
      </c>
      <c r="AB38" s="120">
        <v>96839</v>
      </c>
      <c r="AC38" s="120">
        <v>218713</v>
      </c>
      <c r="AD38" s="120">
        <v>0</v>
      </c>
      <c r="AE38" s="120">
        <v>12992</v>
      </c>
      <c r="AF38" s="120">
        <v>0</v>
      </c>
      <c r="AG38" s="120">
        <v>0</v>
      </c>
      <c r="AH38" s="120">
        <v>0</v>
      </c>
      <c r="AI38" s="120">
        <v>2525</v>
      </c>
      <c r="AJ38" s="120">
        <v>15</v>
      </c>
      <c r="AK38" s="120">
        <v>41431</v>
      </c>
      <c r="AL38" s="117">
        <f t="shared" si="1"/>
        <v>301678</v>
      </c>
      <c r="AM38" s="120"/>
      <c r="AN38" s="120">
        <v>490508</v>
      </c>
      <c r="AO38" s="120">
        <v>85768</v>
      </c>
      <c r="AP38" s="120">
        <v>206107</v>
      </c>
      <c r="AQ38" s="120">
        <v>0</v>
      </c>
      <c r="AR38" s="120">
        <v>10819</v>
      </c>
      <c r="AS38" s="120">
        <v>0</v>
      </c>
      <c r="AT38" s="120">
        <v>0</v>
      </c>
      <c r="AU38" s="120">
        <v>0</v>
      </c>
      <c r="AV38" s="120">
        <v>1935</v>
      </c>
      <c r="AW38" s="120">
        <v>0</v>
      </c>
      <c r="AX38" s="120">
        <v>36442</v>
      </c>
      <c r="AY38" s="117">
        <f t="shared" si="2"/>
        <v>307740</v>
      </c>
      <c r="AZ38" s="120"/>
      <c r="BA38" s="120">
        <v>289091</v>
      </c>
      <c r="BB38" s="120">
        <v>25943</v>
      </c>
      <c r="BC38" s="120">
        <v>42079</v>
      </c>
      <c r="BD38" s="120">
        <v>0</v>
      </c>
      <c r="BE38" s="120">
        <v>6629</v>
      </c>
      <c r="BF38" s="120">
        <v>0</v>
      </c>
      <c r="BG38" s="120">
        <v>0</v>
      </c>
      <c r="BH38" s="120">
        <v>0</v>
      </c>
      <c r="BI38" s="120">
        <v>0</v>
      </c>
      <c r="BJ38" s="120">
        <v>323</v>
      </c>
      <c r="BK38" s="120">
        <v>14113</v>
      </c>
      <c r="BL38" s="117">
        <f t="shared" si="3"/>
        <v>107880</v>
      </c>
      <c r="BM38" s="120"/>
      <c r="BN38" s="120">
        <v>188978</v>
      </c>
      <c r="BO38" s="120">
        <v>23382</v>
      </c>
      <c r="BP38" s="120">
        <v>39275</v>
      </c>
      <c r="BQ38" s="120">
        <v>0</v>
      </c>
      <c r="BR38" s="120">
        <v>5837</v>
      </c>
      <c r="BS38" s="120">
        <v>0</v>
      </c>
      <c r="BT38" s="120">
        <v>0</v>
      </c>
      <c r="BU38" s="120">
        <v>0</v>
      </c>
      <c r="BV38" s="120">
        <v>0</v>
      </c>
      <c r="BW38" s="120">
        <v>5</v>
      </c>
      <c r="BX38" s="120">
        <v>13745</v>
      </c>
      <c r="BY38" s="117">
        <f t="shared" si="4"/>
        <v>89988</v>
      </c>
      <c r="BZ38" s="120"/>
      <c r="CA38" s="120">
        <v>163447</v>
      </c>
      <c r="CB38" s="120">
        <v>22118</v>
      </c>
      <c r="CC38" s="120">
        <v>35335</v>
      </c>
      <c r="CD38" s="120">
        <v>0</v>
      </c>
      <c r="CE38" s="120">
        <v>4861</v>
      </c>
      <c r="CF38" s="120">
        <v>0</v>
      </c>
      <c r="CG38" s="120">
        <v>0</v>
      </c>
      <c r="CH38" s="120">
        <v>0</v>
      </c>
      <c r="CI38" s="120">
        <v>0</v>
      </c>
      <c r="CJ38" s="120">
        <v>0</v>
      </c>
      <c r="CK38" s="120">
        <v>11755</v>
      </c>
      <c r="CL38" s="117">
        <f t="shared" si="5"/>
        <v>86373</v>
      </c>
      <c r="CM38" s="120"/>
      <c r="CN38" s="120">
        <v>0</v>
      </c>
      <c r="CO38" s="120">
        <v>0</v>
      </c>
      <c r="CP38" s="120">
        <v>0</v>
      </c>
      <c r="CQ38" s="120">
        <v>0</v>
      </c>
      <c r="CR38" s="120">
        <v>0</v>
      </c>
      <c r="CS38" s="120">
        <v>0</v>
      </c>
      <c r="CT38" s="120">
        <v>0</v>
      </c>
      <c r="CU38" s="120">
        <v>0</v>
      </c>
      <c r="CV38" s="120">
        <v>0</v>
      </c>
      <c r="CW38" s="120">
        <v>0</v>
      </c>
      <c r="CX38" s="120">
        <v>0</v>
      </c>
      <c r="CY38" s="117">
        <f t="shared" si="6"/>
        <v>0</v>
      </c>
      <c r="CZ38" s="120"/>
      <c r="DA38" s="120">
        <v>0</v>
      </c>
      <c r="DB38" s="120">
        <v>0</v>
      </c>
      <c r="DC38" s="120">
        <v>0</v>
      </c>
      <c r="DD38" s="120">
        <v>0</v>
      </c>
      <c r="DE38" s="120">
        <v>0</v>
      </c>
      <c r="DF38" s="120">
        <v>0</v>
      </c>
      <c r="DG38" s="120">
        <v>0</v>
      </c>
      <c r="DH38" s="120">
        <v>0</v>
      </c>
      <c r="DI38" s="120">
        <v>0</v>
      </c>
      <c r="DJ38" s="120">
        <v>0</v>
      </c>
      <c r="DK38" s="120">
        <v>0</v>
      </c>
      <c r="DL38" s="117">
        <f t="shared" si="7"/>
        <v>0</v>
      </c>
      <c r="DM38" s="120"/>
      <c r="DN38" s="120">
        <v>0</v>
      </c>
      <c r="DO38" s="120">
        <v>0</v>
      </c>
      <c r="DP38" s="120">
        <v>0</v>
      </c>
      <c r="DQ38" s="120">
        <v>0</v>
      </c>
      <c r="DR38" s="120">
        <v>0</v>
      </c>
      <c r="DS38" s="120">
        <v>0</v>
      </c>
      <c r="DT38" s="120">
        <v>0</v>
      </c>
      <c r="DU38" s="120">
        <v>0</v>
      </c>
      <c r="DV38" s="120">
        <v>0</v>
      </c>
      <c r="DW38" s="120">
        <v>0</v>
      </c>
      <c r="DX38" s="120">
        <v>0</v>
      </c>
      <c r="DY38" s="117">
        <f t="shared" si="8"/>
        <v>0</v>
      </c>
      <c r="DZ38" s="116"/>
      <c r="EA38" s="121">
        <f t="shared" si="16"/>
        <v>427571</v>
      </c>
      <c r="EB38" s="121">
        <f t="shared" si="16"/>
        <v>391666</v>
      </c>
      <c r="EC38" s="121">
        <f t="shared" si="16"/>
        <v>394113</v>
      </c>
      <c r="ED38" s="116"/>
      <c r="EE38" s="121" t="str">
        <f t="shared" si="10"/>
        <v/>
      </c>
      <c r="EF38" s="118" t="str">
        <f t="shared" si="11"/>
        <v/>
      </c>
      <c r="EG38" s="118" t="str">
        <f t="shared" si="12"/>
        <v/>
      </c>
      <c r="EH38" s="116"/>
      <c r="EI38" s="120">
        <v>6073949</v>
      </c>
      <c r="EJ38" s="120">
        <v>4550377</v>
      </c>
      <c r="EK38" s="120">
        <v>1299440</v>
      </c>
      <c r="EL38" s="120">
        <v>0</v>
      </c>
      <c r="EM38" s="120">
        <v>224132</v>
      </c>
      <c r="EN38" s="117">
        <f t="shared" si="13"/>
        <v>5849817</v>
      </c>
      <c r="EO38" s="120">
        <v>6019766</v>
      </c>
      <c r="EP38" s="120">
        <v>4531580</v>
      </c>
      <c r="EQ38" s="120">
        <v>1258399</v>
      </c>
      <c r="ER38" s="120">
        <v>0</v>
      </c>
      <c r="ES38" s="120">
        <v>229787</v>
      </c>
      <c r="ET38" s="117">
        <f t="shared" si="14"/>
        <v>5789979</v>
      </c>
      <c r="EU38" s="120">
        <v>5793822</v>
      </c>
      <c r="EV38" s="120">
        <v>4444595</v>
      </c>
      <c r="EW38" s="120">
        <v>1133051</v>
      </c>
      <c r="EX38" s="120">
        <v>0</v>
      </c>
      <c r="EY38" s="120">
        <v>216175</v>
      </c>
      <c r="EZ38" s="117">
        <f t="shared" si="15"/>
        <v>5577646</v>
      </c>
    </row>
    <row r="39" spans="1:156" x14ac:dyDescent="0.4">
      <c r="A39" s="116" t="s">
        <v>342</v>
      </c>
      <c r="B39" s="119">
        <v>4057021</v>
      </c>
      <c r="C39" s="116" t="s">
        <v>81</v>
      </c>
      <c r="D39" s="120">
        <v>3183956</v>
      </c>
      <c r="E39" s="120">
        <v>0</v>
      </c>
      <c r="F39" s="120">
        <v>0</v>
      </c>
      <c r="G39" s="120">
        <v>2708838</v>
      </c>
      <c r="H39" s="120">
        <v>0</v>
      </c>
      <c r="I39" s="120">
        <v>0</v>
      </c>
      <c r="J39" s="120">
        <v>2503255</v>
      </c>
      <c r="K39" s="120">
        <v>0</v>
      </c>
      <c r="L39" s="120">
        <v>0</v>
      </c>
      <c r="M39" s="120"/>
      <c r="N39" s="120">
        <v>1708019</v>
      </c>
      <c r="O39" s="120">
        <v>126299</v>
      </c>
      <c r="P39" s="120">
        <v>363374</v>
      </c>
      <c r="Q39" s="120">
        <v>0</v>
      </c>
      <c r="R39" s="120">
        <v>47361</v>
      </c>
      <c r="S39" s="120">
        <v>0</v>
      </c>
      <c r="T39" s="120">
        <v>0</v>
      </c>
      <c r="U39" s="120">
        <v>0</v>
      </c>
      <c r="V39" s="120">
        <v>595</v>
      </c>
      <c r="W39" s="120">
        <v>73902</v>
      </c>
      <c r="X39" s="120">
        <v>153646</v>
      </c>
      <c r="Y39" s="117">
        <f t="shared" si="0"/>
        <v>858564</v>
      </c>
      <c r="Z39" s="120"/>
      <c r="AA39" s="120">
        <v>1204444</v>
      </c>
      <c r="AB39" s="120">
        <v>125786</v>
      </c>
      <c r="AC39" s="120">
        <v>369982</v>
      </c>
      <c r="AD39" s="120">
        <v>0</v>
      </c>
      <c r="AE39" s="120">
        <v>60356</v>
      </c>
      <c r="AF39" s="120">
        <v>0</v>
      </c>
      <c r="AG39" s="120">
        <v>0</v>
      </c>
      <c r="AH39" s="120">
        <v>0</v>
      </c>
      <c r="AI39" s="120">
        <v>80544</v>
      </c>
      <c r="AJ39" s="120">
        <v>0</v>
      </c>
      <c r="AK39" s="120">
        <v>124159</v>
      </c>
      <c r="AL39" s="117">
        <f t="shared" si="1"/>
        <v>743567</v>
      </c>
      <c r="AM39" s="120"/>
      <c r="AN39" s="120">
        <v>1083030</v>
      </c>
      <c r="AO39" s="120">
        <v>114971</v>
      </c>
      <c r="AP39" s="120">
        <v>345726</v>
      </c>
      <c r="AQ39" s="120">
        <v>0</v>
      </c>
      <c r="AR39" s="120">
        <v>58774</v>
      </c>
      <c r="AS39" s="120">
        <v>0</v>
      </c>
      <c r="AT39" s="120">
        <v>0</v>
      </c>
      <c r="AU39" s="120">
        <v>0</v>
      </c>
      <c r="AV39" s="120">
        <v>7386</v>
      </c>
      <c r="AW39" s="120">
        <v>39610</v>
      </c>
      <c r="AX39" s="120">
        <v>111413</v>
      </c>
      <c r="AY39" s="117">
        <f t="shared" si="2"/>
        <v>821565</v>
      </c>
      <c r="AZ39" s="120"/>
      <c r="BA39" s="120">
        <v>0</v>
      </c>
      <c r="BB39" s="120">
        <v>0</v>
      </c>
      <c r="BC39" s="120">
        <v>0</v>
      </c>
      <c r="BD39" s="120">
        <v>0</v>
      </c>
      <c r="BE39" s="120">
        <v>0</v>
      </c>
      <c r="BF39" s="120">
        <v>0</v>
      </c>
      <c r="BG39" s="120">
        <v>0</v>
      </c>
      <c r="BH39" s="120">
        <v>0</v>
      </c>
      <c r="BI39" s="120">
        <v>0</v>
      </c>
      <c r="BJ39" s="120">
        <v>0</v>
      </c>
      <c r="BK39" s="120">
        <v>0</v>
      </c>
      <c r="BL39" s="117">
        <f t="shared" si="3"/>
        <v>0</v>
      </c>
      <c r="BM39" s="120"/>
      <c r="BN39" s="120">
        <v>0</v>
      </c>
      <c r="BO39" s="120">
        <v>0</v>
      </c>
      <c r="BP39" s="120">
        <v>0</v>
      </c>
      <c r="BQ39" s="120">
        <v>0</v>
      </c>
      <c r="BR39" s="120">
        <v>0</v>
      </c>
      <c r="BS39" s="120">
        <v>0</v>
      </c>
      <c r="BT39" s="120">
        <v>0</v>
      </c>
      <c r="BU39" s="120">
        <v>0</v>
      </c>
      <c r="BV39" s="120">
        <v>0</v>
      </c>
      <c r="BW39" s="120">
        <v>0</v>
      </c>
      <c r="BX39" s="120">
        <v>0</v>
      </c>
      <c r="BY39" s="117">
        <f t="shared" si="4"/>
        <v>0</v>
      </c>
      <c r="BZ39" s="120"/>
      <c r="CA39" s="120">
        <v>0</v>
      </c>
      <c r="CB39" s="120">
        <v>0</v>
      </c>
      <c r="CC39" s="120">
        <v>0</v>
      </c>
      <c r="CD39" s="120">
        <v>0</v>
      </c>
      <c r="CE39" s="120">
        <v>0</v>
      </c>
      <c r="CF39" s="120">
        <v>0</v>
      </c>
      <c r="CG39" s="120">
        <v>0</v>
      </c>
      <c r="CH39" s="120">
        <v>0</v>
      </c>
      <c r="CI39" s="120">
        <v>0</v>
      </c>
      <c r="CJ39" s="120">
        <v>0</v>
      </c>
      <c r="CK39" s="120">
        <v>0</v>
      </c>
      <c r="CL39" s="117">
        <f t="shared" si="5"/>
        <v>0</v>
      </c>
      <c r="CM39" s="120"/>
      <c r="CN39" s="120">
        <v>0</v>
      </c>
      <c r="CO39" s="120">
        <v>0</v>
      </c>
      <c r="CP39" s="120">
        <v>0</v>
      </c>
      <c r="CQ39" s="120">
        <v>0</v>
      </c>
      <c r="CR39" s="120">
        <v>0</v>
      </c>
      <c r="CS39" s="120">
        <v>0</v>
      </c>
      <c r="CT39" s="120">
        <v>0</v>
      </c>
      <c r="CU39" s="120">
        <v>0</v>
      </c>
      <c r="CV39" s="120">
        <v>0</v>
      </c>
      <c r="CW39" s="120">
        <v>0</v>
      </c>
      <c r="CX39" s="120">
        <v>0</v>
      </c>
      <c r="CY39" s="117">
        <f t="shared" si="6"/>
        <v>0</v>
      </c>
      <c r="CZ39" s="120"/>
      <c r="DA39" s="120">
        <v>0</v>
      </c>
      <c r="DB39" s="120">
        <v>0</v>
      </c>
      <c r="DC39" s="120">
        <v>0</v>
      </c>
      <c r="DD39" s="120">
        <v>0</v>
      </c>
      <c r="DE39" s="120">
        <v>0</v>
      </c>
      <c r="DF39" s="120">
        <v>0</v>
      </c>
      <c r="DG39" s="120">
        <v>0</v>
      </c>
      <c r="DH39" s="120">
        <v>0</v>
      </c>
      <c r="DI39" s="120">
        <v>0</v>
      </c>
      <c r="DJ39" s="120">
        <v>0</v>
      </c>
      <c r="DK39" s="120">
        <v>0</v>
      </c>
      <c r="DL39" s="117">
        <f t="shared" si="7"/>
        <v>0</v>
      </c>
      <c r="DM39" s="120"/>
      <c r="DN39" s="120">
        <v>0</v>
      </c>
      <c r="DO39" s="120">
        <v>0</v>
      </c>
      <c r="DP39" s="120">
        <v>0</v>
      </c>
      <c r="DQ39" s="120">
        <v>0</v>
      </c>
      <c r="DR39" s="120">
        <v>0</v>
      </c>
      <c r="DS39" s="120">
        <v>0</v>
      </c>
      <c r="DT39" s="120">
        <v>0</v>
      </c>
      <c r="DU39" s="120">
        <v>0</v>
      </c>
      <c r="DV39" s="120">
        <v>0</v>
      </c>
      <c r="DW39" s="120">
        <v>0</v>
      </c>
      <c r="DX39" s="120">
        <v>0</v>
      </c>
      <c r="DY39" s="117">
        <f t="shared" si="8"/>
        <v>0</v>
      </c>
      <c r="DZ39" s="116"/>
      <c r="EA39" s="121">
        <f t="shared" si="16"/>
        <v>858564</v>
      </c>
      <c r="EB39" s="121">
        <f t="shared" si="16"/>
        <v>743567</v>
      </c>
      <c r="EC39" s="121">
        <f t="shared" si="16"/>
        <v>821565</v>
      </c>
      <c r="ED39" s="116"/>
      <c r="EE39" s="121" t="str">
        <f t="shared" si="10"/>
        <v/>
      </c>
      <c r="EF39" s="118" t="str">
        <f t="shared" si="11"/>
        <v/>
      </c>
      <c r="EG39" s="118" t="str">
        <f t="shared" si="12"/>
        <v/>
      </c>
      <c r="EH39" s="116"/>
      <c r="EI39" s="120">
        <v>12403263</v>
      </c>
      <c r="EJ39" s="120">
        <v>12403263</v>
      </c>
      <c r="EK39" s="120">
        <v>0</v>
      </c>
      <c r="EL39" s="120">
        <v>0</v>
      </c>
      <c r="EM39" s="120">
        <v>0</v>
      </c>
      <c r="EN39" s="117">
        <f t="shared" si="13"/>
        <v>12403263</v>
      </c>
      <c r="EO39" s="120">
        <v>11835225</v>
      </c>
      <c r="EP39" s="120">
        <v>11835225</v>
      </c>
      <c r="EQ39" s="120">
        <v>0</v>
      </c>
      <c r="ER39" s="120">
        <v>0</v>
      </c>
      <c r="ES39" s="120">
        <v>0</v>
      </c>
      <c r="ET39" s="117">
        <f t="shared" si="14"/>
        <v>11835225</v>
      </c>
      <c r="EU39" s="120">
        <v>11343522</v>
      </c>
      <c r="EV39" s="120">
        <v>11343522</v>
      </c>
      <c r="EW39" s="120">
        <v>0</v>
      </c>
      <c r="EX39" s="120">
        <v>0</v>
      </c>
      <c r="EY39" s="120">
        <v>0</v>
      </c>
      <c r="EZ39" s="117">
        <f t="shared" si="15"/>
        <v>11343522</v>
      </c>
    </row>
    <row r="40" spans="1:156" x14ac:dyDescent="0.4">
      <c r="A40" s="116" t="s">
        <v>343</v>
      </c>
      <c r="B40" s="119">
        <v>4057095</v>
      </c>
      <c r="C40" s="116" t="s">
        <v>219</v>
      </c>
      <c r="D40" s="120">
        <v>5209506</v>
      </c>
      <c r="E40" s="120">
        <v>2440504</v>
      </c>
      <c r="F40" s="120">
        <v>0</v>
      </c>
      <c r="G40" s="120">
        <v>4940355</v>
      </c>
      <c r="H40" s="120">
        <v>1919020</v>
      </c>
      <c r="I40" s="120">
        <v>0</v>
      </c>
      <c r="J40" s="120">
        <v>4643765</v>
      </c>
      <c r="K40" s="120">
        <v>1679259</v>
      </c>
      <c r="L40" s="120">
        <v>0</v>
      </c>
      <c r="M40" s="120"/>
      <c r="N40" s="120">
        <v>2634479</v>
      </c>
      <c r="O40" s="120">
        <v>204118</v>
      </c>
      <c r="P40" s="120">
        <v>651087</v>
      </c>
      <c r="Q40" s="120">
        <v>0</v>
      </c>
      <c r="R40" s="120">
        <v>24074</v>
      </c>
      <c r="S40" s="120">
        <v>0</v>
      </c>
      <c r="T40" s="120">
        <v>4588</v>
      </c>
      <c r="U40" s="120">
        <v>0</v>
      </c>
      <c r="V40" s="120">
        <v>20208</v>
      </c>
      <c r="W40" s="120">
        <v>10547</v>
      </c>
      <c r="X40" s="120">
        <v>40177</v>
      </c>
      <c r="Y40" s="117">
        <f t="shared" si="0"/>
        <v>1641322</v>
      </c>
      <c r="Z40" s="120"/>
      <c r="AA40" s="120">
        <v>2370812</v>
      </c>
      <c r="AB40" s="120">
        <v>203335</v>
      </c>
      <c r="AC40" s="120">
        <v>640302</v>
      </c>
      <c r="AD40" s="120">
        <v>0</v>
      </c>
      <c r="AE40" s="120">
        <v>19711</v>
      </c>
      <c r="AF40" s="120">
        <v>0</v>
      </c>
      <c r="AG40" s="120">
        <v>783</v>
      </c>
      <c r="AH40" s="120">
        <v>0</v>
      </c>
      <c r="AI40" s="120">
        <v>27382</v>
      </c>
      <c r="AJ40" s="120">
        <v>0</v>
      </c>
      <c r="AK40" s="120">
        <v>38616</v>
      </c>
      <c r="AL40" s="117">
        <f t="shared" si="1"/>
        <v>1639414</v>
      </c>
      <c r="AM40" s="120"/>
      <c r="AN40" s="120">
        <v>2263542</v>
      </c>
      <c r="AO40" s="120">
        <v>196245</v>
      </c>
      <c r="AP40" s="120">
        <v>617029</v>
      </c>
      <c r="AQ40" s="120">
        <v>0</v>
      </c>
      <c r="AR40" s="120">
        <v>16678</v>
      </c>
      <c r="AS40" s="120">
        <v>0</v>
      </c>
      <c r="AT40" s="120">
        <v>1011</v>
      </c>
      <c r="AU40" s="120">
        <v>0</v>
      </c>
      <c r="AV40" s="120">
        <v>25756</v>
      </c>
      <c r="AW40" s="120">
        <v>0</v>
      </c>
      <c r="AX40" s="120">
        <v>37673</v>
      </c>
      <c r="AY40" s="117">
        <f t="shared" si="2"/>
        <v>1485831</v>
      </c>
      <c r="AZ40" s="120"/>
      <c r="BA40" s="120">
        <v>1617554</v>
      </c>
      <c r="BB40" s="120">
        <v>38190</v>
      </c>
      <c r="BC40" s="120">
        <v>203691</v>
      </c>
      <c r="BD40" s="120">
        <v>0</v>
      </c>
      <c r="BE40" s="120">
        <v>15318</v>
      </c>
      <c r="BF40" s="120">
        <v>0</v>
      </c>
      <c r="BG40" s="120">
        <v>7256</v>
      </c>
      <c r="BH40" s="120">
        <v>0</v>
      </c>
      <c r="BI40" s="120">
        <v>32540</v>
      </c>
      <c r="BJ40" s="120">
        <v>0</v>
      </c>
      <c r="BK40" s="120">
        <v>17569</v>
      </c>
      <c r="BL40" s="117">
        <f t="shared" si="3"/>
        <v>508386</v>
      </c>
      <c r="BM40" s="120"/>
      <c r="BN40" s="120">
        <v>1181121</v>
      </c>
      <c r="BO40" s="120">
        <v>33201</v>
      </c>
      <c r="BP40" s="120">
        <v>189648</v>
      </c>
      <c r="BQ40" s="120">
        <v>0</v>
      </c>
      <c r="BR40" s="120">
        <v>15710</v>
      </c>
      <c r="BS40" s="120">
        <v>0</v>
      </c>
      <c r="BT40" s="120">
        <v>0</v>
      </c>
      <c r="BU40" s="120">
        <v>0</v>
      </c>
      <c r="BV40" s="120">
        <v>48417</v>
      </c>
      <c r="BW40" s="120">
        <v>0</v>
      </c>
      <c r="BX40" s="120">
        <v>17275</v>
      </c>
      <c r="BY40" s="117">
        <f t="shared" si="4"/>
        <v>433648</v>
      </c>
      <c r="BZ40" s="120"/>
      <c r="CA40" s="120">
        <v>1028741</v>
      </c>
      <c r="CB40" s="120">
        <v>49435</v>
      </c>
      <c r="CC40" s="120">
        <v>177246</v>
      </c>
      <c r="CD40" s="120">
        <v>0</v>
      </c>
      <c r="CE40" s="120">
        <v>12681</v>
      </c>
      <c r="CF40" s="120">
        <v>0</v>
      </c>
      <c r="CG40" s="120">
        <v>0</v>
      </c>
      <c r="CH40" s="120">
        <v>0</v>
      </c>
      <c r="CI40" s="120">
        <v>50112</v>
      </c>
      <c r="CJ40" s="120">
        <v>0</v>
      </c>
      <c r="CK40" s="120">
        <v>17029</v>
      </c>
      <c r="CL40" s="117">
        <f t="shared" si="5"/>
        <v>344015</v>
      </c>
      <c r="CM40" s="120"/>
      <c r="CN40" s="120">
        <v>0</v>
      </c>
      <c r="CO40" s="120">
        <v>0</v>
      </c>
      <c r="CP40" s="120">
        <v>0</v>
      </c>
      <c r="CQ40" s="120">
        <v>0</v>
      </c>
      <c r="CR40" s="120">
        <v>0</v>
      </c>
      <c r="CS40" s="120">
        <v>0</v>
      </c>
      <c r="CT40" s="120">
        <v>0</v>
      </c>
      <c r="CU40" s="120">
        <v>0</v>
      </c>
      <c r="CV40" s="120">
        <v>0</v>
      </c>
      <c r="CW40" s="120">
        <v>0</v>
      </c>
      <c r="CX40" s="120">
        <v>0</v>
      </c>
      <c r="CY40" s="117">
        <f t="shared" si="6"/>
        <v>0</v>
      </c>
      <c r="CZ40" s="120"/>
      <c r="DA40" s="120">
        <v>0</v>
      </c>
      <c r="DB40" s="120">
        <v>0</v>
      </c>
      <c r="DC40" s="120">
        <v>0</v>
      </c>
      <c r="DD40" s="120">
        <v>0</v>
      </c>
      <c r="DE40" s="120">
        <v>0</v>
      </c>
      <c r="DF40" s="120">
        <v>0</v>
      </c>
      <c r="DG40" s="120">
        <v>0</v>
      </c>
      <c r="DH40" s="120">
        <v>0</v>
      </c>
      <c r="DI40" s="120">
        <v>0</v>
      </c>
      <c r="DJ40" s="120">
        <v>0</v>
      </c>
      <c r="DK40" s="120">
        <v>0</v>
      </c>
      <c r="DL40" s="117">
        <f t="shared" si="7"/>
        <v>0</v>
      </c>
      <c r="DM40" s="120"/>
      <c r="DN40" s="120">
        <v>0</v>
      </c>
      <c r="DO40" s="120">
        <v>0</v>
      </c>
      <c r="DP40" s="120">
        <v>0</v>
      </c>
      <c r="DQ40" s="120">
        <v>0</v>
      </c>
      <c r="DR40" s="120">
        <v>0</v>
      </c>
      <c r="DS40" s="120">
        <v>0</v>
      </c>
      <c r="DT40" s="120">
        <v>0</v>
      </c>
      <c r="DU40" s="120">
        <v>0</v>
      </c>
      <c r="DV40" s="120">
        <v>0</v>
      </c>
      <c r="DW40" s="120">
        <v>0</v>
      </c>
      <c r="DX40" s="120">
        <v>0</v>
      </c>
      <c r="DY40" s="117">
        <f t="shared" si="8"/>
        <v>0</v>
      </c>
      <c r="DZ40" s="116"/>
      <c r="EA40" s="121">
        <f t="shared" si="16"/>
        <v>2149708</v>
      </c>
      <c r="EB40" s="121">
        <f t="shared" si="16"/>
        <v>2073062</v>
      </c>
      <c r="EC40" s="121">
        <f t="shared" si="16"/>
        <v>1829846</v>
      </c>
      <c r="ED40" s="116"/>
      <c r="EE40" s="121" t="str">
        <f t="shared" si="10"/>
        <v/>
      </c>
      <c r="EF40" s="118" t="str">
        <f t="shared" si="11"/>
        <v/>
      </c>
      <c r="EG40" s="118" t="str">
        <f t="shared" si="12"/>
        <v/>
      </c>
      <c r="EH40" s="116"/>
      <c r="EI40" s="120">
        <v>33124993</v>
      </c>
      <c r="EJ40" s="120">
        <v>24312217</v>
      </c>
      <c r="EK40" s="120">
        <v>8488034</v>
      </c>
      <c r="EL40" s="120">
        <v>86226</v>
      </c>
      <c r="EM40" s="120">
        <v>238515</v>
      </c>
      <c r="EN40" s="117">
        <f t="shared" si="13"/>
        <v>32886477</v>
      </c>
      <c r="EO40" s="120">
        <v>31257768</v>
      </c>
      <c r="EP40" s="120">
        <v>23230435</v>
      </c>
      <c r="EQ40" s="120">
        <v>7691900</v>
      </c>
      <c r="ER40" s="120">
        <v>92336</v>
      </c>
      <c r="ES40" s="120">
        <v>243097</v>
      </c>
      <c r="ET40" s="117">
        <f t="shared" si="14"/>
        <v>31014671</v>
      </c>
      <c r="EU40" s="120">
        <v>29477952</v>
      </c>
      <c r="EV40" s="120">
        <v>22133952</v>
      </c>
      <c r="EW40" s="120">
        <v>6980265</v>
      </c>
      <c r="EX40" s="120">
        <v>99121</v>
      </c>
      <c r="EY40" s="120">
        <v>264613</v>
      </c>
      <c r="EZ40" s="117">
        <f t="shared" si="15"/>
        <v>29213338</v>
      </c>
    </row>
    <row r="41" spans="1:156" x14ac:dyDescent="0.4">
      <c r="A41" s="116" t="s">
        <v>344</v>
      </c>
      <c r="B41" s="119">
        <v>4122218</v>
      </c>
      <c r="C41" s="116" t="s">
        <v>245</v>
      </c>
      <c r="D41" s="120" t="s">
        <v>316</v>
      </c>
      <c r="E41" s="120" t="s">
        <v>316</v>
      </c>
      <c r="F41" s="120" t="s">
        <v>316</v>
      </c>
      <c r="G41" s="120">
        <v>0</v>
      </c>
      <c r="H41" s="120">
        <v>151943</v>
      </c>
      <c r="I41" s="120">
        <v>0</v>
      </c>
      <c r="J41" s="120">
        <v>0</v>
      </c>
      <c r="K41" s="120">
        <v>128211</v>
      </c>
      <c r="L41" s="120">
        <v>0</v>
      </c>
      <c r="M41" s="120"/>
      <c r="N41" s="120" t="s">
        <v>316</v>
      </c>
      <c r="O41" s="120" t="s">
        <v>316</v>
      </c>
      <c r="P41" s="120" t="s">
        <v>316</v>
      </c>
      <c r="Q41" s="120" t="s">
        <v>316</v>
      </c>
      <c r="R41" s="120" t="s">
        <v>316</v>
      </c>
      <c r="S41" s="120" t="s">
        <v>316</v>
      </c>
      <c r="T41" s="120" t="s">
        <v>316</v>
      </c>
      <c r="U41" s="120" t="s">
        <v>316</v>
      </c>
      <c r="V41" s="120" t="s">
        <v>316</v>
      </c>
      <c r="W41" s="120" t="s">
        <v>316</v>
      </c>
      <c r="X41" s="120" t="s">
        <v>316</v>
      </c>
      <c r="Y41" s="117">
        <f t="shared" si="0"/>
        <v>0</v>
      </c>
      <c r="Z41" s="120"/>
      <c r="AA41" s="120" t="s">
        <v>316</v>
      </c>
      <c r="AB41" s="120" t="s">
        <v>316</v>
      </c>
      <c r="AC41" s="120" t="s">
        <v>316</v>
      </c>
      <c r="AD41" s="120" t="s">
        <v>316</v>
      </c>
      <c r="AE41" s="120" t="s">
        <v>316</v>
      </c>
      <c r="AF41" s="120" t="s">
        <v>316</v>
      </c>
      <c r="AG41" s="120" t="s">
        <v>316</v>
      </c>
      <c r="AH41" s="120" t="s">
        <v>316</v>
      </c>
      <c r="AI41" s="120" t="s">
        <v>316</v>
      </c>
      <c r="AJ41" s="120" t="s">
        <v>316</v>
      </c>
      <c r="AK41" s="120" t="s">
        <v>316</v>
      </c>
      <c r="AL41" s="117">
        <f t="shared" si="1"/>
        <v>0</v>
      </c>
      <c r="AM41" s="120"/>
      <c r="AN41" s="120" t="s">
        <v>316</v>
      </c>
      <c r="AO41" s="120" t="s">
        <v>316</v>
      </c>
      <c r="AP41" s="120" t="s">
        <v>316</v>
      </c>
      <c r="AQ41" s="120" t="s">
        <v>316</v>
      </c>
      <c r="AR41" s="120" t="s">
        <v>316</v>
      </c>
      <c r="AS41" s="120" t="s">
        <v>316</v>
      </c>
      <c r="AT41" s="120" t="s">
        <v>316</v>
      </c>
      <c r="AU41" s="120" t="s">
        <v>316</v>
      </c>
      <c r="AV41" s="120" t="s">
        <v>316</v>
      </c>
      <c r="AW41" s="120" t="s">
        <v>316</v>
      </c>
      <c r="AX41" s="120" t="s">
        <v>316</v>
      </c>
      <c r="AY41" s="117">
        <f t="shared" si="2"/>
        <v>0</v>
      </c>
      <c r="AZ41" s="120"/>
      <c r="BA41" s="120" t="s">
        <v>316</v>
      </c>
      <c r="BB41" s="120" t="s">
        <v>316</v>
      </c>
      <c r="BC41" s="120" t="s">
        <v>316</v>
      </c>
      <c r="BD41" s="120" t="s">
        <v>316</v>
      </c>
      <c r="BE41" s="120" t="s">
        <v>316</v>
      </c>
      <c r="BF41" s="120" t="s">
        <v>316</v>
      </c>
      <c r="BG41" s="120" t="s">
        <v>316</v>
      </c>
      <c r="BH41" s="120" t="s">
        <v>316</v>
      </c>
      <c r="BI41" s="120" t="s">
        <v>316</v>
      </c>
      <c r="BJ41" s="120" t="s">
        <v>316</v>
      </c>
      <c r="BK41" s="120" t="s">
        <v>316</v>
      </c>
      <c r="BL41" s="117">
        <f>BY41</f>
        <v>18246</v>
      </c>
      <c r="BM41" s="120"/>
      <c r="BN41" s="120">
        <v>105132</v>
      </c>
      <c r="BO41" s="120">
        <v>3135</v>
      </c>
      <c r="BP41" s="120">
        <v>13823</v>
      </c>
      <c r="BQ41" s="120" t="s">
        <v>316</v>
      </c>
      <c r="BR41" s="120">
        <v>3366</v>
      </c>
      <c r="BS41" s="120">
        <v>0</v>
      </c>
      <c r="BT41" s="120">
        <v>0</v>
      </c>
      <c r="BU41" s="120">
        <v>0</v>
      </c>
      <c r="BV41" s="120">
        <v>0</v>
      </c>
      <c r="BW41" s="120">
        <v>0</v>
      </c>
      <c r="BX41" s="120">
        <v>8241</v>
      </c>
      <c r="BY41" s="117">
        <f t="shared" si="4"/>
        <v>18246</v>
      </c>
      <c r="BZ41" s="120"/>
      <c r="CA41" s="120">
        <v>81045</v>
      </c>
      <c r="CB41" s="120">
        <v>2780</v>
      </c>
      <c r="CC41" s="120">
        <v>12728</v>
      </c>
      <c r="CD41" s="120" t="s">
        <v>316</v>
      </c>
      <c r="CE41" s="120">
        <v>2796</v>
      </c>
      <c r="CF41" s="120">
        <v>0</v>
      </c>
      <c r="CG41" s="120">
        <v>0</v>
      </c>
      <c r="CH41" s="120">
        <v>0</v>
      </c>
      <c r="CI41" s="120">
        <v>0</v>
      </c>
      <c r="CJ41" s="120">
        <v>0</v>
      </c>
      <c r="CK41" s="120">
        <v>6835</v>
      </c>
      <c r="CL41" s="117">
        <f t="shared" si="5"/>
        <v>22027</v>
      </c>
      <c r="CM41" s="120"/>
      <c r="CN41" s="120" t="s">
        <v>316</v>
      </c>
      <c r="CO41" s="120" t="s">
        <v>316</v>
      </c>
      <c r="CP41" s="120" t="s">
        <v>316</v>
      </c>
      <c r="CQ41" s="120" t="s">
        <v>316</v>
      </c>
      <c r="CR41" s="120" t="s">
        <v>316</v>
      </c>
      <c r="CS41" s="120" t="s">
        <v>316</v>
      </c>
      <c r="CT41" s="120" t="s">
        <v>316</v>
      </c>
      <c r="CU41" s="120" t="s">
        <v>316</v>
      </c>
      <c r="CV41" s="120" t="s">
        <v>316</v>
      </c>
      <c r="CW41" s="120" t="s">
        <v>316</v>
      </c>
      <c r="CX41" s="120" t="s">
        <v>316</v>
      </c>
      <c r="CY41" s="117">
        <f t="shared" si="6"/>
        <v>0</v>
      </c>
      <c r="CZ41" s="120"/>
      <c r="DA41" s="120" t="s">
        <v>316</v>
      </c>
      <c r="DB41" s="120" t="s">
        <v>316</v>
      </c>
      <c r="DC41" s="120" t="s">
        <v>316</v>
      </c>
      <c r="DD41" s="120" t="s">
        <v>316</v>
      </c>
      <c r="DE41" s="120" t="s">
        <v>316</v>
      </c>
      <c r="DF41" s="120" t="s">
        <v>316</v>
      </c>
      <c r="DG41" s="120" t="s">
        <v>316</v>
      </c>
      <c r="DH41" s="120" t="s">
        <v>316</v>
      </c>
      <c r="DI41" s="120" t="s">
        <v>316</v>
      </c>
      <c r="DJ41" s="120" t="s">
        <v>316</v>
      </c>
      <c r="DK41" s="120" t="s">
        <v>316</v>
      </c>
      <c r="DL41" s="117">
        <f t="shared" si="7"/>
        <v>0</v>
      </c>
      <c r="DM41" s="120"/>
      <c r="DN41" s="120" t="s">
        <v>316</v>
      </c>
      <c r="DO41" s="120" t="s">
        <v>316</v>
      </c>
      <c r="DP41" s="120" t="s">
        <v>316</v>
      </c>
      <c r="DQ41" s="120" t="s">
        <v>316</v>
      </c>
      <c r="DR41" s="120" t="s">
        <v>316</v>
      </c>
      <c r="DS41" s="120" t="s">
        <v>316</v>
      </c>
      <c r="DT41" s="120" t="s">
        <v>316</v>
      </c>
      <c r="DU41" s="120" t="s">
        <v>316</v>
      </c>
      <c r="DV41" s="120" t="s">
        <v>316</v>
      </c>
      <c r="DW41" s="120" t="s">
        <v>316</v>
      </c>
      <c r="DX41" s="120" t="s">
        <v>316</v>
      </c>
      <c r="DY41" s="117">
        <f t="shared" si="8"/>
        <v>0</v>
      </c>
      <c r="DZ41" s="116"/>
      <c r="EA41" s="121">
        <f t="shared" si="16"/>
        <v>18246</v>
      </c>
      <c r="EB41" s="121">
        <f t="shared" si="16"/>
        <v>18246</v>
      </c>
      <c r="EC41" s="121">
        <f t="shared" si="16"/>
        <v>22027</v>
      </c>
      <c r="ED41" s="116"/>
      <c r="EE41" s="121" t="str">
        <f t="shared" si="10"/>
        <v>ERROR</v>
      </c>
      <c r="EF41" s="118" t="str">
        <f t="shared" si="11"/>
        <v/>
      </c>
      <c r="EG41" s="118" t="str">
        <f t="shared" si="12"/>
        <v/>
      </c>
      <c r="EH41" s="123"/>
      <c r="EI41" s="120" t="s">
        <v>316</v>
      </c>
      <c r="EJ41" s="120" t="s">
        <v>316</v>
      </c>
      <c r="EK41" s="120" t="s">
        <v>316</v>
      </c>
      <c r="EL41" s="120" t="s">
        <v>316</v>
      </c>
      <c r="EM41" s="120" t="s">
        <v>316</v>
      </c>
      <c r="EN41" s="117">
        <f t="shared" si="13"/>
        <v>0</v>
      </c>
      <c r="EO41" s="120" t="s">
        <v>316</v>
      </c>
      <c r="EP41" s="120" t="s">
        <v>316</v>
      </c>
      <c r="EQ41" s="120" t="s">
        <v>316</v>
      </c>
      <c r="ER41" s="120" t="s">
        <v>316</v>
      </c>
      <c r="ES41" s="120" t="s">
        <v>316</v>
      </c>
      <c r="ET41" s="117">
        <f t="shared" si="14"/>
        <v>0</v>
      </c>
      <c r="EU41" s="120" t="s">
        <v>316</v>
      </c>
      <c r="EV41" s="120" t="s">
        <v>316</v>
      </c>
      <c r="EW41" s="120" t="s">
        <v>316</v>
      </c>
      <c r="EX41" s="120" t="s">
        <v>316</v>
      </c>
      <c r="EY41" s="120" t="s">
        <v>316</v>
      </c>
      <c r="EZ41" s="117">
        <f t="shared" si="15"/>
        <v>0</v>
      </c>
    </row>
    <row r="42" spans="1:156" x14ac:dyDescent="0.4">
      <c r="A42" s="116" t="s">
        <v>345</v>
      </c>
      <c r="B42" s="119">
        <v>4140737</v>
      </c>
      <c r="C42" s="116" t="s">
        <v>245</v>
      </c>
      <c r="D42" s="120" t="s">
        <v>316</v>
      </c>
      <c r="E42" s="120" t="s">
        <v>316</v>
      </c>
      <c r="F42" s="120" t="s">
        <v>316</v>
      </c>
      <c r="G42" s="120">
        <v>0</v>
      </c>
      <c r="H42" s="120">
        <v>348842</v>
      </c>
      <c r="I42" s="120">
        <v>0</v>
      </c>
      <c r="J42" s="120">
        <v>0</v>
      </c>
      <c r="K42" s="120">
        <v>238432</v>
      </c>
      <c r="L42" s="120">
        <v>0</v>
      </c>
      <c r="M42" s="120"/>
      <c r="N42" s="120" t="s">
        <v>316</v>
      </c>
      <c r="O42" s="120" t="s">
        <v>316</v>
      </c>
      <c r="P42" s="120" t="s">
        <v>316</v>
      </c>
      <c r="Q42" s="120" t="s">
        <v>316</v>
      </c>
      <c r="R42" s="120" t="s">
        <v>316</v>
      </c>
      <c r="S42" s="120" t="s">
        <v>316</v>
      </c>
      <c r="T42" s="120" t="s">
        <v>316</v>
      </c>
      <c r="U42" s="120" t="s">
        <v>316</v>
      </c>
      <c r="V42" s="120" t="s">
        <v>316</v>
      </c>
      <c r="W42" s="120" t="s">
        <v>316</v>
      </c>
      <c r="X42" s="120" t="s">
        <v>316</v>
      </c>
      <c r="Y42" s="117">
        <f t="shared" si="0"/>
        <v>0</v>
      </c>
      <c r="Z42" s="120"/>
      <c r="AA42" s="120" t="s">
        <v>316</v>
      </c>
      <c r="AB42" s="120" t="s">
        <v>316</v>
      </c>
      <c r="AC42" s="120" t="s">
        <v>316</v>
      </c>
      <c r="AD42" s="120" t="s">
        <v>316</v>
      </c>
      <c r="AE42" s="120" t="s">
        <v>316</v>
      </c>
      <c r="AF42" s="120" t="s">
        <v>316</v>
      </c>
      <c r="AG42" s="120" t="s">
        <v>316</v>
      </c>
      <c r="AH42" s="120" t="s">
        <v>316</v>
      </c>
      <c r="AI42" s="120" t="s">
        <v>316</v>
      </c>
      <c r="AJ42" s="120" t="s">
        <v>316</v>
      </c>
      <c r="AK42" s="120" t="s">
        <v>316</v>
      </c>
      <c r="AL42" s="117">
        <f t="shared" si="1"/>
        <v>0</v>
      </c>
      <c r="AM42" s="120"/>
      <c r="AN42" s="120" t="s">
        <v>316</v>
      </c>
      <c r="AO42" s="120" t="s">
        <v>316</v>
      </c>
      <c r="AP42" s="120" t="s">
        <v>316</v>
      </c>
      <c r="AQ42" s="120" t="s">
        <v>316</v>
      </c>
      <c r="AR42" s="120" t="s">
        <v>316</v>
      </c>
      <c r="AS42" s="120" t="s">
        <v>316</v>
      </c>
      <c r="AT42" s="120" t="s">
        <v>316</v>
      </c>
      <c r="AU42" s="120" t="s">
        <v>316</v>
      </c>
      <c r="AV42" s="120" t="s">
        <v>316</v>
      </c>
      <c r="AW42" s="120" t="s">
        <v>316</v>
      </c>
      <c r="AX42" s="120" t="s">
        <v>316</v>
      </c>
      <c r="AY42" s="117">
        <f t="shared" si="2"/>
        <v>0</v>
      </c>
      <c r="AZ42" s="120"/>
      <c r="BA42" s="120" t="s">
        <v>316</v>
      </c>
      <c r="BB42" s="120" t="s">
        <v>316</v>
      </c>
      <c r="BC42" s="120" t="s">
        <v>316</v>
      </c>
      <c r="BD42" s="120" t="s">
        <v>316</v>
      </c>
      <c r="BE42" s="120" t="s">
        <v>316</v>
      </c>
      <c r="BF42" s="120" t="s">
        <v>316</v>
      </c>
      <c r="BG42" s="120" t="s">
        <v>316</v>
      </c>
      <c r="BH42" s="120" t="s">
        <v>316</v>
      </c>
      <c r="BI42" s="120" t="s">
        <v>316</v>
      </c>
      <c r="BJ42" s="120" t="s">
        <v>316</v>
      </c>
      <c r="BK42" s="120" t="s">
        <v>316</v>
      </c>
      <c r="BL42" s="117">
        <f>BY42</f>
        <v>29702</v>
      </c>
      <c r="BM42" s="120"/>
      <c r="BN42" s="120">
        <v>269247</v>
      </c>
      <c r="BO42" s="120">
        <v>4268</v>
      </c>
      <c r="BP42" s="120">
        <v>17836</v>
      </c>
      <c r="BQ42" s="120" t="s">
        <v>316</v>
      </c>
      <c r="BR42" s="120">
        <v>3105</v>
      </c>
      <c r="BS42" s="120">
        <v>0</v>
      </c>
      <c r="BT42" s="120">
        <v>0</v>
      </c>
      <c r="BU42" s="120">
        <v>11833</v>
      </c>
      <c r="BV42" s="120">
        <v>0</v>
      </c>
      <c r="BW42" s="120">
        <v>0</v>
      </c>
      <c r="BX42" s="120">
        <v>12851</v>
      </c>
      <c r="BY42" s="117">
        <f t="shared" si="4"/>
        <v>29702</v>
      </c>
      <c r="BZ42" s="120"/>
      <c r="CA42" s="120">
        <v>159259</v>
      </c>
      <c r="CB42" s="120">
        <v>3879</v>
      </c>
      <c r="CC42" s="120">
        <v>15550</v>
      </c>
      <c r="CD42" s="120" t="s">
        <v>316</v>
      </c>
      <c r="CE42" s="120">
        <v>2409</v>
      </c>
      <c r="CF42" s="120">
        <v>0</v>
      </c>
      <c r="CG42" s="120">
        <v>0</v>
      </c>
      <c r="CH42" s="120">
        <v>10182</v>
      </c>
      <c r="CI42" s="120">
        <v>0</v>
      </c>
      <c r="CJ42" s="120">
        <v>0</v>
      </c>
      <c r="CK42" s="120">
        <v>12895</v>
      </c>
      <c r="CL42" s="117">
        <f t="shared" si="5"/>
        <v>34258</v>
      </c>
      <c r="CM42" s="120"/>
      <c r="CN42" s="120" t="s">
        <v>316</v>
      </c>
      <c r="CO42" s="120" t="s">
        <v>316</v>
      </c>
      <c r="CP42" s="120" t="s">
        <v>316</v>
      </c>
      <c r="CQ42" s="120" t="s">
        <v>316</v>
      </c>
      <c r="CR42" s="120" t="s">
        <v>316</v>
      </c>
      <c r="CS42" s="120" t="s">
        <v>316</v>
      </c>
      <c r="CT42" s="120" t="s">
        <v>316</v>
      </c>
      <c r="CU42" s="120" t="s">
        <v>316</v>
      </c>
      <c r="CV42" s="120" t="s">
        <v>316</v>
      </c>
      <c r="CW42" s="120" t="s">
        <v>316</v>
      </c>
      <c r="CX42" s="120" t="s">
        <v>316</v>
      </c>
      <c r="CY42" s="117">
        <f t="shared" si="6"/>
        <v>0</v>
      </c>
      <c r="CZ42" s="120"/>
      <c r="DA42" s="120" t="s">
        <v>316</v>
      </c>
      <c r="DB42" s="120" t="s">
        <v>316</v>
      </c>
      <c r="DC42" s="120" t="s">
        <v>316</v>
      </c>
      <c r="DD42" s="120" t="s">
        <v>316</v>
      </c>
      <c r="DE42" s="120" t="s">
        <v>316</v>
      </c>
      <c r="DF42" s="120" t="s">
        <v>316</v>
      </c>
      <c r="DG42" s="120" t="s">
        <v>316</v>
      </c>
      <c r="DH42" s="120" t="s">
        <v>316</v>
      </c>
      <c r="DI42" s="120" t="s">
        <v>316</v>
      </c>
      <c r="DJ42" s="120" t="s">
        <v>316</v>
      </c>
      <c r="DK42" s="120" t="s">
        <v>316</v>
      </c>
      <c r="DL42" s="117">
        <f t="shared" si="7"/>
        <v>0</v>
      </c>
      <c r="DM42" s="120"/>
      <c r="DN42" s="120" t="s">
        <v>316</v>
      </c>
      <c r="DO42" s="120" t="s">
        <v>316</v>
      </c>
      <c r="DP42" s="120" t="s">
        <v>316</v>
      </c>
      <c r="DQ42" s="120" t="s">
        <v>316</v>
      </c>
      <c r="DR42" s="120" t="s">
        <v>316</v>
      </c>
      <c r="DS42" s="120" t="s">
        <v>316</v>
      </c>
      <c r="DT42" s="120" t="s">
        <v>316</v>
      </c>
      <c r="DU42" s="120" t="s">
        <v>316</v>
      </c>
      <c r="DV42" s="120" t="s">
        <v>316</v>
      </c>
      <c r="DW42" s="120" t="s">
        <v>316</v>
      </c>
      <c r="DX42" s="120" t="s">
        <v>316</v>
      </c>
      <c r="DY42" s="117">
        <f t="shared" si="8"/>
        <v>0</v>
      </c>
      <c r="DZ42" s="116"/>
      <c r="EA42" s="121">
        <f t="shared" si="16"/>
        <v>29702</v>
      </c>
      <c r="EB42" s="121">
        <f t="shared" si="16"/>
        <v>29702</v>
      </c>
      <c r="EC42" s="121">
        <f t="shared" si="16"/>
        <v>34258</v>
      </c>
      <c r="ED42" s="116"/>
      <c r="EE42" s="121" t="str">
        <f t="shared" si="10"/>
        <v>ERROR</v>
      </c>
      <c r="EF42" s="118" t="str">
        <f t="shared" si="11"/>
        <v/>
      </c>
      <c r="EG42" s="118" t="str">
        <f t="shared" si="12"/>
        <v/>
      </c>
      <c r="EH42" s="123"/>
      <c r="EI42" s="120" t="s">
        <v>316</v>
      </c>
      <c r="EJ42" s="120" t="s">
        <v>316</v>
      </c>
      <c r="EK42" s="120" t="s">
        <v>316</v>
      </c>
      <c r="EL42" s="120" t="s">
        <v>316</v>
      </c>
      <c r="EM42" s="120" t="s">
        <v>316</v>
      </c>
      <c r="EN42" s="117">
        <f t="shared" si="13"/>
        <v>0</v>
      </c>
      <c r="EO42" s="120" t="s">
        <v>316</v>
      </c>
      <c r="EP42" s="120" t="s">
        <v>316</v>
      </c>
      <c r="EQ42" s="120" t="s">
        <v>316</v>
      </c>
      <c r="ER42" s="120" t="s">
        <v>316</v>
      </c>
      <c r="ES42" s="120" t="s">
        <v>316</v>
      </c>
      <c r="ET42" s="117">
        <f t="shared" si="14"/>
        <v>0</v>
      </c>
      <c r="EU42" s="120" t="s">
        <v>316</v>
      </c>
      <c r="EV42" s="120" t="s">
        <v>316</v>
      </c>
      <c r="EW42" s="120" t="s">
        <v>316</v>
      </c>
      <c r="EX42" s="120" t="s">
        <v>316</v>
      </c>
      <c r="EY42" s="120" t="s">
        <v>316</v>
      </c>
      <c r="EZ42" s="117">
        <f t="shared" si="15"/>
        <v>0</v>
      </c>
    </row>
    <row r="43" spans="1:156" x14ac:dyDescent="0.4">
      <c r="A43" s="116" t="s">
        <v>346</v>
      </c>
      <c r="B43" s="119">
        <v>4057130</v>
      </c>
      <c r="C43" s="116" t="s">
        <v>245</v>
      </c>
      <c r="D43" s="120" t="s">
        <v>316</v>
      </c>
      <c r="E43" s="120" t="s">
        <v>316</v>
      </c>
      <c r="F43" s="120" t="s">
        <v>316</v>
      </c>
      <c r="G43" s="120">
        <v>0</v>
      </c>
      <c r="H43" s="120">
        <v>209654</v>
      </c>
      <c r="I43" s="120">
        <v>0</v>
      </c>
      <c r="J43" s="120">
        <v>0</v>
      </c>
      <c r="K43" s="120">
        <v>170177</v>
      </c>
      <c r="L43" s="120">
        <v>0</v>
      </c>
      <c r="M43" s="120"/>
      <c r="N43" s="120" t="s">
        <v>316</v>
      </c>
      <c r="O43" s="120" t="s">
        <v>316</v>
      </c>
      <c r="P43" s="120" t="s">
        <v>316</v>
      </c>
      <c r="Q43" s="120" t="s">
        <v>316</v>
      </c>
      <c r="R43" s="120" t="s">
        <v>316</v>
      </c>
      <c r="S43" s="120" t="s">
        <v>316</v>
      </c>
      <c r="T43" s="120" t="s">
        <v>316</v>
      </c>
      <c r="U43" s="120" t="s">
        <v>316</v>
      </c>
      <c r="V43" s="120" t="s">
        <v>316</v>
      </c>
      <c r="W43" s="120" t="s">
        <v>316</v>
      </c>
      <c r="X43" s="120" t="s">
        <v>316</v>
      </c>
      <c r="Y43" s="117">
        <f t="shared" si="0"/>
        <v>0</v>
      </c>
      <c r="Z43" s="120"/>
      <c r="AA43" s="120" t="s">
        <v>316</v>
      </c>
      <c r="AB43" s="120" t="s">
        <v>316</v>
      </c>
      <c r="AC43" s="120" t="s">
        <v>316</v>
      </c>
      <c r="AD43" s="120" t="s">
        <v>316</v>
      </c>
      <c r="AE43" s="120" t="s">
        <v>316</v>
      </c>
      <c r="AF43" s="120" t="s">
        <v>316</v>
      </c>
      <c r="AG43" s="120" t="s">
        <v>316</v>
      </c>
      <c r="AH43" s="120" t="s">
        <v>316</v>
      </c>
      <c r="AI43" s="120" t="s">
        <v>316</v>
      </c>
      <c r="AJ43" s="120" t="s">
        <v>316</v>
      </c>
      <c r="AK43" s="120" t="s">
        <v>316</v>
      </c>
      <c r="AL43" s="117">
        <f t="shared" si="1"/>
        <v>0</v>
      </c>
      <c r="AM43" s="120"/>
      <c r="AN43" s="120" t="s">
        <v>316</v>
      </c>
      <c r="AO43" s="120" t="s">
        <v>316</v>
      </c>
      <c r="AP43" s="120" t="s">
        <v>316</v>
      </c>
      <c r="AQ43" s="120" t="s">
        <v>316</v>
      </c>
      <c r="AR43" s="120" t="s">
        <v>316</v>
      </c>
      <c r="AS43" s="120" t="s">
        <v>316</v>
      </c>
      <c r="AT43" s="120" t="s">
        <v>316</v>
      </c>
      <c r="AU43" s="120" t="s">
        <v>316</v>
      </c>
      <c r="AV43" s="120" t="s">
        <v>316</v>
      </c>
      <c r="AW43" s="120" t="s">
        <v>316</v>
      </c>
      <c r="AX43" s="120" t="s">
        <v>316</v>
      </c>
      <c r="AY43" s="117">
        <f t="shared" si="2"/>
        <v>0</v>
      </c>
      <c r="AZ43" s="120"/>
      <c r="BA43" s="120" t="s">
        <v>316</v>
      </c>
      <c r="BB43" s="120" t="s">
        <v>316</v>
      </c>
      <c r="BC43" s="120" t="s">
        <v>316</v>
      </c>
      <c r="BD43" s="120" t="s">
        <v>316</v>
      </c>
      <c r="BE43" s="120" t="s">
        <v>316</v>
      </c>
      <c r="BF43" s="120" t="s">
        <v>316</v>
      </c>
      <c r="BG43" s="120" t="s">
        <v>316</v>
      </c>
      <c r="BH43" s="120" t="s">
        <v>316</v>
      </c>
      <c r="BI43" s="120" t="s">
        <v>316</v>
      </c>
      <c r="BJ43" s="120" t="s">
        <v>316</v>
      </c>
      <c r="BK43" s="120" t="s">
        <v>316</v>
      </c>
      <c r="BL43" s="117">
        <f>BY43</f>
        <v>29275</v>
      </c>
      <c r="BM43" s="120"/>
      <c r="BN43" s="120">
        <v>153508</v>
      </c>
      <c r="BO43" s="120">
        <v>2569</v>
      </c>
      <c r="BP43" s="120">
        <v>17046</v>
      </c>
      <c r="BQ43" s="120" t="s">
        <v>316</v>
      </c>
      <c r="BR43" s="120">
        <v>3256</v>
      </c>
      <c r="BS43" s="120">
        <v>0</v>
      </c>
      <c r="BT43" s="120">
        <v>0</v>
      </c>
      <c r="BU43" s="120">
        <v>0</v>
      </c>
      <c r="BV43" s="120">
        <v>0</v>
      </c>
      <c r="BW43" s="120">
        <v>0</v>
      </c>
      <c r="BX43" s="120">
        <v>4000</v>
      </c>
      <c r="BY43" s="117">
        <f t="shared" si="4"/>
        <v>29275</v>
      </c>
      <c r="BZ43" s="120"/>
      <c r="CA43" s="120">
        <v>116360</v>
      </c>
      <c r="CB43" s="120">
        <v>3226</v>
      </c>
      <c r="CC43" s="120">
        <v>15928</v>
      </c>
      <c r="CD43" s="120" t="s">
        <v>316</v>
      </c>
      <c r="CE43" s="120">
        <v>2586</v>
      </c>
      <c r="CF43" s="120">
        <v>0</v>
      </c>
      <c r="CG43" s="120">
        <v>0</v>
      </c>
      <c r="CH43" s="120">
        <v>0</v>
      </c>
      <c r="CI43" s="120">
        <v>0</v>
      </c>
      <c r="CJ43" s="120">
        <v>0</v>
      </c>
      <c r="CK43" s="120">
        <v>3423</v>
      </c>
      <c r="CL43" s="117">
        <f t="shared" si="5"/>
        <v>28654</v>
      </c>
      <c r="CM43" s="120"/>
      <c r="CN43" s="120" t="s">
        <v>316</v>
      </c>
      <c r="CO43" s="120" t="s">
        <v>316</v>
      </c>
      <c r="CP43" s="120" t="s">
        <v>316</v>
      </c>
      <c r="CQ43" s="120" t="s">
        <v>316</v>
      </c>
      <c r="CR43" s="120" t="s">
        <v>316</v>
      </c>
      <c r="CS43" s="120" t="s">
        <v>316</v>
      </c>
      <c r="CT43" s="120" t="s">
        <v>316</v>
      </c>
      <c r="CU43" s="120" t="s">
        <v>316</v>
      </c>
      <c r="CV43" s="120" t="s">
        <v>316</v>
      </c>
      <c r="CW43" s="120" t="s">
        <v>316</v>
      </c>
      <c r="CX43" s="120" t="s">
        <v>316</v>
      </c>
      <c r="CY43" s="117">
        <f t="shared" si="6"/>
        <v>0</v>
      </c>
      <c r="CZ43" s="120"/>
      <c r="DA43" s="120" t="s">
        <v>316</v>
      </c>
      <c r="DB43" s="120" t="s">
        <v>316</v>
      </c>
      <c r="DC43" s="120" t="s">
        <v>316</v>
      </c>
      <c r="DD43" s="120" t="s">
        <v>316</v>
      </c>
      <c r="DE43" s="120" t="s">
        <v>316</v>
      </c>
      <c r="DF43" s="120" t="s">
        <v>316</v>
      </c>
      <c r="DG43" s="120" t="s">
        <v>316</v>
      </c>
      <c r="DH43" s="120" t="s">
        <v>316</v>
      </c>
      <c r="DI43" s="120" t="s">
        <v>316</v>
      </c>
      <c r="DJ43" s="120" t="s">
        <v>316</v>
      </c>
      <c r="DK43" s="120" t="s">
        <v>316</v>
      </c>
      <c r="DL43" s="117">
        <f t="shared" si="7"/>
        <v>0</v>
      </c>
      <c r="DM43" s="120"/>
      <c r="DN43" s="120" t="s">
        <v>316</v>
      </c>
      <c r="DO43" s="120" t="s">
        <v>316</v>
      </c>
      <c r="DP43" s="120" t="s">
        <v>316</v>
      </c>
      <c r="DQ43" s="120" t="s">
        <v>316</v>
      </c>
      <c r="DR43" s="120" t="s">
        <v>316</v>
      </c>
      <c r="DS43" s="120" t="s">
        <v>316</v>
      </c>
      <c r="DT43" s="120" t="s">
        <v>316</v>
      </c>
      <c r="DU43" s="120" t="s">
        <v>316</v>
      </c>
      <c r="DV43" s="120" t="s">
        <v>316</v>
      </c>
      <c r="DW43" s="120" t="s">
        <v>316</v>
      </c>
      <c r="DX43" s="120" t="s">
        <v>316</v>
      </c>
      <c r="DY43" s="117">
        <f t="shared" si="8"/>
        <v>0</v>
      </c>
      <c r="DZ43" s="116"/>
      <c r="EA43" s="121">
        <f t="shared" si="16"/>
        <v>29275</v>
      </c>
      <c r="EB43" s="121">
        <f t="shared" si="16"/>
        <v>29275</v>
      </c>
      <c r="EC43" s="121">
        <f t="shared" si="16"/>
        <v>28654</v>
      </c>
      <c r="ED43" s="116"/>
      <c r="EE43" s="121" t="str">
        <f t="shared" si="10"/>
        <v>ERROR</v>
      </c>
      <c r="EF43" s="118" t="str">
        <f t="shared" si="11"/>
        <v/>
      </c>
      <c r="EG43" s="118" t="str">
        <f t="shared" si="12"/>
        <v/>
      </c>
      <c r="EH43" s="123"/>
      <c r="EI43" s="120" t="s">
        <v>316</v>
      </c>
      <c r="EJ43" s="120" t="s">
        <v>316</v>
      </c>
      <c r="EK43" s="120" t="s">
        <v>316</v>
      </c>
      <c r="EL43" s="120" t="s">
        <v>316</v>
      </c>
      <c r="EM43" s="120" t="s">
        <v>316</v>
      </c>
      <c r="EN43" s="117">
        <f t="shared" si="13"/>
        <v>0</v>
      </c>
      <c r="EO43" s="120" t="s">
        <v>316</v>
      </c>
      <c r="EP43" s="120" t="s">
        <v>316</v>
      </c>
      <c r="EQ43" s="120" t="s">
        <v>316</v>
      </c>
      <c r="ER43" s="120" t="s">
        <v>316</v>
      </c>
      <c r="ES43" s="120" t="s">
        <v>316</v>
      </c>
      <c r="ET43" s="117">
        <f t="shared" si="14"/>
        <v>0</v>
      </c>
      <c r="EU43" s="120" t="s">
        <v>316</v>
      </c>
      <c r="EV43" s="120" t="s">
        <v>316</v>
      </c>
      <c r="EW43" s="120" t="s">
        <v>316</v>
      </c>
      <c r="EX43" s="120" t="s">
        <v>316</v>
      </c>
      <c r="EY43" s="120" t="s">
        <v>316</v>
      </c>
      <c r="EZ43" s="117">
        <f t="shared" si="15"/>
        <v>0</v>
      </c>
    </row>
    <row r="44" spans="1:156" x14ac:dyDescent="0.4">
      <c r="A44" s="116" t="s">
        <v>347</v>
      </c>
      <c r="B44" s="119">
        <v>4057135</v>
      </c>
      <c r="C44" s="116" t="s">
        <v>245</v>
      </c>
      <c r="D44" s="120" t="s">
        <v>316</v>
      </c>
      <c r="E44" s="120" t="s">
        <v>316</v>
      </c>
      <c r="F44" s="120" t="s">
        <v>316</v>
      </c>
      <c r="G44" s="120">
        <v>0</v>
      </c>
      <c r="H44" s="120">
        <v>1463107</v>
      </c>
      <c r="I44" s="120">
        <v>75</v>
      </c>
      <c r="J44" s="120">
        <v>0</v>
      </c>
      <c r="K44" s="120">
        <v>1151731</v>
      </c>
      <c r="L44" s="120">
        <v>84</v>
      </c>
      <c r="M44" s="120"/>
      <c r="N44" s="120" t="s">
        <v>316</v>
      </c>
      <c r="O44" s="120" t="s">
        <v>316</v>
      </c>
      <c r="P44" s="120" t="s">
        <v>316</v>
      </c>
      <c r="Q44" s="120" t="s">
        <v>316</v>
      </c>
      <c r="R44" s="120" t="s">
        <v>316</v>
      </c>
      <c r="S44" s="120" t="s">
        <v>316</v>
      </c>
      <c r="T44" s="120" t="s">
        <v>316</v>
      </c>
      <c r="U44" s="120" t="s">
        <v>316</v>
      </c>
      <c r="V44" s="120" t="s">
        <v>316</v>
      </c>
      <c r="W44" s="120" t="s">
        <v>316</v>
      </c>
      <c r="X44" s="120" t="s">
        <v>316</v>
      </c>
      <c r="Y44" s="117">
        <f t="shared" si="0"/>
        <v>0</v>
      </c>
      <c r="Z44" s="120"/>
      <c r="AA44" s="120" t="s">
        <v>316</v>
      </c>
      <c r="AB44" s="120" t="s">
        <v>316</v>
      </c>
      <c r="AC44" s="120" t="s">
        <v>316</v>
      </c>
      <c r="AD44" s="120" t="s">
        <v>316</v>
      </c>
      <c r="AE44" s="120" t="s">
        <v>316</v>
      </c>
      <c r="AF44" s="120" t="s">
        <v>316</v>
      </c>
      <c r="AG44" s="120" t="s">
        <v>316</v>
      </c>
      <c r="AH44" s="120" t="s">
        <v>316</v>
      </c>
      <c r="AI44" s="120" t="s">
        <v>316</v>
      </c>
      <c r="AJ44" s="120" t="s">
        <v>316</v>
      </c>
      <c r="AK44" s="120" t="s">
        <v>316</v>
      </c>
      <c r="AL44" s="117">
        <f t="shared" si="1"/>
        <v>0</v>
      </c>
      <c r="AM44" s="120"/>
      <c r="AN44" s="120" t="s">
        <v>316</v>
      </c>
      <c r="AO44" s="120" t="s">
        <v>316</v>
      </c>
      <c r="AP44" s="120" t="s">
        <v>316</v>
      </c>
      <c r="AQ44" s="120" t="s">
        <v>316</v>
      </c>
      <c r="AR44" s="120" t="s">
        <v>316</v>
      </c>
      <c r="AS44" s="120" t="s">
        <v>316</v>
      </c>
      <c r="AT44" s="120" t="s">
        <v>316</v>
      </c>
      <c r="AU44" s="120" t="s">
        <v>316</v>
      </c>
      <c r="AV44" s="120" t="s">
        <v>316</v>
      </c>
      <c r="AW44" s="120" t="s">
        <v>316</v>
      </c>
      <c r="AX44" s="120" t="s">
        <v>316</v>
      </c>
      <c r="AY44" s="117">
        <f t="shared" si="2"/>
        <v>0</v>
      </c>
      <c r="AZ44" s="120"/>
      <c r="BA44" s="120" t="s">
        <v>316</v>
      </c>
      <c r="BB44" s="120" t="s">
        <v>316</v>
      </c>
      <c r="BC44" s="120" t="s">
        <v>316</v>
      </c>
      <c r="BD44" s="120" t="s">
        <v>316</v>
      </c>
      <c r="BE44" s="120" t="s">
        <v>316</v>
      </c>
      <c r="BF44" s="120" t="s">
        <v>316</v>
      </c>
      <c r="BG44" s="120" t="s">
        <v>316</v>
      </c>
      <c r="BH44" s="120" t="s">
        <v>316</v>
      </c>
      <c r="BI44" s="120" t="s">
        <v>316</v>
      </c>
      <c r="BJ44" s="120" t="s">
        <v>316</v>
      </c>
      <c r="BK44" s="120" t="s">
        <v>316</v>
      </c>
      <c r="BL44" s="117">
        <f>BY44</f>
        <v>341341</v>
      </c>
      <c r="BM44" s="120"/>
      <c r="BN44" s="120">
        <v>849657</v>
      </c>
      <c r="BO44" s="120">
        <v>38931</v>
      </c>
      <c r="BP44" s="120">
        <v>177118</v>
      </c>
      <c r="BQ44" s="120" t="s">
        <v>316</v>
      </c>
      <c r="BR44" s="120">
        <v>20792</v>
      </c>
      <c r="BS44" s="120">
        <v>0</v>
      </c>
      <c r="BT44" s="120">
        <v>0</v>
      </c>
      <c r="BU44" s="120">
        <v>0</v>
      </c>
      <c r="BV44" s="120">
        <v>0</v>
      </c>
      <c r="BW44" s="120">
        <v>0</v>
      </c>
      <c r="BX44" s="120">
        <v>35268</v>
      </c>
      <c r="BY44" s="117">
        <f t="shared" si="4"/>
        <v>341341</v>
      </c>
      <c r="BZ44" s="120"/>
      <c r="CA44" s="120">
        <v>575204</v>
      </c>
      <c r="CB44" s="120">
        <v>54503</v>
      </c>
      <c r="CC44" s="120">
        <v>162184</v>
      </c>
      <c r="CD44" s="120" t="s">
        <v>316</v>
      </c>
      <c r="CE44" s="120">
        <v>16090</v>
      </c>
      <c r="CF44" s="120">
        <v>0</v>
      </c>
      <c r="CG44" s="120">
        <v>0</v>
      </c>
      <c r="CH44" s="120">
        <v>0</v>
      </c>
      <c r="CI44" s="120">
        <v>0</v>
      </c>
      <c r="CJ44" s="120">
        <v>0</v>
      </c>
      <c r="CK44" s="120">
        <v>32637</v>
      </c>
      <c r="CL44" s="117">
        <f t="shared" si="5"/>
        <v>311113</v>
      </c>
      <c r="CM44" s="120"/>
      <c r="CN44" s="120" t="s">
        <v>316</v>
      </c>
      <c r="CO44" s="120" t="s">
        <v>316</v>
      </c>
      <c r="CP44" s="120" t="s">
        <v>316</v>
      </c>
      <c r="CQ44" s="120" t="s">
        <v>316</v>
      </c>
      <c r="CR44" s="120" t="s">
        <v>316</v>
      </c>
      <c r="CS44" s="120" t="s">
        <v>316</v>
      </c>
      <c r="CT44" s="120" t="s">
        <v>316</v>
      </c>
      <c r="CU44" s="120" t="s">
        <v>316</v>
      </c>
      <c r="CV44" s="120" t="s">
        <v>316</v>
      </c>
      <c r="CW44" s="120" t="s">
        <v>316</v>
      </c>
      <c r="CX44" s="120" t="s">
        <v>316</v>
      </c>
      <c r="CY44" s="117">
        <f t="shared" si="6"/>
        <v>0</v>
      </c>
      <c r="CZ44" s="120"/>
      <c r="DA44" s="120" t="s">
        <v>316</v>
      </c>
      <c r="DB44" s="120" t="s">
        <v>316</v>
      </c>
      <c r="DC44" s="120" t="s">
        <v>316</v>
      </c>
      <c r="DD44" s="120" t="s">
        <v>316</v>
      </c>
      <c r="DE44" s="120" t="s">
        <v>316</v>
      </c>
      <c r="DF44" s="120" t="s">
        <v>316</v>
      </c>
      <c r="DG44" s="120" t="s">
        <v>316</v>
      </c>
      <c r="DH44" s="120" t="s">
        <v>316</v>
      </c>
      <c r="DI44" s="120" t="s">
        <v>316</v>
      </c>
      <c r="DJ44" s="120" t="s">
        <v>316</v>
      </c>
      <c r="DK44" s="120" t="s">
        <v>316</v>
      </c>
      <c r="DL44" s="117">
        <f t="shared" si="7"/>
        <v>75</v>
      </c>
      <c r="DM44" s="120"/>
      <c r="DN44" s="120" t="s">
        <v>316</v>
      </c>
      <c r="DO44" s="120" t="s">
        <v>316</v>
      </c>
      <c r="DP44" s="120" t="s">
        <v>316</v>
      </c>
      <c r="DQ44" s="120" t="s">
        <v>316</v>
      </c>
      <c r="DR44" s="120" t="s">
        <v>316</v>
      </c>
      <c r="DS44" s="120" t="s">
        <v>316</v>
      </c>
      <c r="DT44" s="120" t="s">
        <v>316</v>
      </c>
      <c r="DU44" s="120" t="s">
        <v>316</v>
      </c>
      <c r="DV44" s="120" t="s">
        <v>316</v>
      </c>
      <c r="DW44" s="120" t="s">
        <v>316</v>
      </c>
      <c r="DX44" s="120" t="s">
        <v>316</v>
      </c>
      <c r="DY44" s="117">
        <f t="shared" si="8"/>
        <v>84</v>
      </c>
      <c r="DZ44" s="116"/>
      <c r="EA44" s="121">
        <f t="shared" si="16"/>
        <v>341341</v>
      </c>
      <c r="EB44" s="121">
        <f t="shared" si="16"/>
        <v>341416</v>
      </c>
      <c r="EC44" s="121">
        <f t="shared" si="16"/>
        <v>311197</v>
      </c>
      <c r="ED44" s="116"/>
      <c r="EE44" s="121" t="str">
        <f t="shared" si="10"/>
        <v>ERROR</v>
      </c>
      <c r="EF44" s="118" t="str">
        <f t="shared" si="11"/>
        <v/>
      </c>
      <c r="EG44" s="118" t="str">
        <f t="shared" si="12"/>
        <v/>
      </c>
      <c r="EH44" s="123"/>
      <c r="EI44" s="120" t="s">
        <v>316</v>
      </c>
      <c r="EJ44" s="120" t="s">
        <v>316</v>
      </c>
      <c r="EK44" s="120" t="s">
        <v>316</v>
      </c>
      <c r="EL44" s="120" t="s">
        <v>316</v>
      </c>
      <c r="EM44" s="120" t="s">
        <v>316</v>
      </c>
      <c r="EN44" s="117">
        <f t="shared" si="13"/>
        <v>0</v>
      </c>
      <c r="EO44" s="120" t="s">
        <v>316</v>
      </c>
      <c r="EP44" s="120" t="s">
        <v>316</v>
      </c>
      <c r="EQ44" s="120" t="s">
        <v>316</v>
      </c>
      <c r="ER44" s="120" t="s">
        <v>316</v>
      </c>
      <c r="ES44" s="120" t="s">
        <v>316</v>
      </c>
      <c r="ET44" s="117">
        <f t="shared" si="14"/>
        <v>0</v>
      </c>
      <c r="EU44" s="120" t="s">
        <v>316</v>
      </c>
      <c r="EV44" s="120" t="s">
        <v>316</v>
      </c>
      <c r="EW44" s="120" t="s">
        <v>316</v>
      </c>
      <c r="EX44" s="120" t="s">
        <v>316</v>
      </c>
      <c r="EY44" s="120" t="s">
        <v>316</v>
      </c>
      <c r="EZ44" s="117">
        <f t="shared" si="15"/>
        <v>0</v>
      </c>
    </row>
    <row r="45" spans="1:156" x14ac:dyDescent="0.4">
      <c r="A45" s="116" t="s">
        <v>348</v>
      </c>
      <c r="B45" s="119">
        <v>4057105</v>
      </c>
      <c r="C45" s="116" t="s">
        <v>245</v>
      </c>
      <c r="D45" s="120">
        <v>3467271</v>
      </c>
      <c r="E45" s="120">
        <v>658864</v>
      </c>
      <c r="F45" s="120">
        <v>28378</v>
      </c>
      <c r="G45" s="120">
        <v>3176531</v>
      </c>
      <c r="H45" s="120">
        <v>479030</v>
      </c>
      <c r="I45" s="120">
        <v>28975</v>
      </c>
      <c r="J45" s="120">
        <v>2999297</v>
      </c>
      <c r="K45" s="120">
        <v>361717</v>
      </c>
      <c r="L45" s="120">
        <v>21506</v>
      </c>
      <c r="M45" s="120"/>
      <c r="N45" s="120">
        <v>2238194</v>
      </c>
      <c r="O45" s="120">
        <v>183522</v>
      </c>
      <c r="P45" s="120">
        <v>263555</v>
      </c>
      <c r="Q45" s="120">
        <v>0</v>
      </c>
      <c r="R45" s="120">
        <v>50161</v>
      </c>
      <c r="S45" s="120">
        <v>545</v>
      </c>
      <c r="T45" s="120">
        <v>41894</v>
      </c>
      <c r="U45" s="120">
        <v>0</v>
      </c>
      <c r="V45" s="120">
        <v>926</v>
      </c>
      <c r="W45" s="120">
        <v>605</v>
      </c>
      <c r="X45" s="120">
        <v>130418</v>
      </c>
      <c r="Y45" s="117">
        <f t="shared" si="0"/>
        <v>558661</v>
      </c>
      <c r="Z45" s="120"/>
      <c r="AA45" s="120">
        <v>2078431</v>
      </c>
      <c r="AB45" s="120">
        <v>167048</v>
      </c>
      <c r="AC45" s="120">
        <v>256508</v>
      </c>
      <c r="AD45" s="120">
        <v>0</v>
      </c>
      <c r="AE45" s="120">
        <v>48462</v>
      </c>
      <c r="AF45" s="120">
        <v>545</v>
      </c>
      <c r="AG45" s="120">
        <v>41894</v>
      </c>
      <c r="AH45" s="120">
        <v>0</v>
      </c>
      <c r="AI45" s="120">
        <v>926</v>
      </c>
      <c r="AJ45" s="120">
        <v>0</v>
      </c>
      <c r="AK45" s="120">
        <v>104279</v>
      </c>
      <c r="AL45" s="117">
        <f t="shared" si="1"/>
        <v>478438</v>
      </c>
      <c r="AM45" s="120"/>
      <c r="AN45" s="120">
        <v>1983885</v>
      </c>
      <c r="AO45" s="120">
        <v>132486</v>
      </c>
      <c r="AP45" s="120">
        <v>249517</v>
      </c>
      <c r="AQ45" s="120">
        <v>0</v>
      </c>
      <c r="AR45" s="120">
        <v>42686</v>
      </c>
      <c r="AS45" s="120">
        <v>545</v>
      </c>
      <c r="AT45" s="120">
        <v>41894</v>
      </c>
      <c r="AU45" s="120">
        <v>0</v>
      </c>
      <c r="AV45" s="120">
        <v>926</v>
      </c>
      <c r="AW45" s="120">
        <v>0</v>
      </c>
      <c r="AX45" s="120">
        <v>109322</v>
      </c>
      <c r="AY45" s="117">
        <f t="shared" si="2"/>
        <v>438036</v>
      </c>
      <c r="AZ45" s="120"/>
      <c r="BA45" s="120">
        <v>513103</v>
      </c>
      <c r="BB45" s="120">
        <v>7468</v>
      </c>
      <c r="BC45" s="120">
        <v>32423</v>
      </c>
      <c r="BD45" s="120">
        <v>0</v>
      </c>
      <c r="BE45" s="120">
        <v>8912</v>
      </c>
      <c r="BF45" s="120">
        <v>0</v>
      </c>
      <c r="BG45" s="120">
        <v>0</v>
      </c>
      <c r="BH45" s="120">
        <v>0</v>
      </c>
      <c r="BI45" s="120">
        <v>10</v>
      </c>
      <c r="BJ45" s="120">
        <v>0</v>
      </c>
      <c r="BK45" s="120">
        <v>6136</v>
      </c>
      <c r="BL45" s="117">
        <f t="shared" si="3"/>
        <v>90812</v>
      </c>
      <c r="BM45" s="120"/>
      <c r="BN45" s="120">
        <v>350625</v>
      </c>
      <c r="BO45" s="120">
        <v>7094</v>
      </c>
      <c r="BP45" s="120">
        <v>28904</v>
      </c>
      <c r="BQ45" s="120">
        <v>0</v>
      </c>
      <c r="BR45" s="120">
        <v>8468</v>
      </c>
      <c r="BS45" s="120">
        <v>0</v>
      </c>
      <c r="BT45" s="120">
        <v>0</v>
      </c>
      <c r="BU45" s="120">
        <v>0</v>
      </c>
      <c r="BV45" s="120">
        <v>11</v>
      </c>
      <c r="BW45" s="120">
        <v>11</v>
      </c>
      <c r="BX45" s="120">
        <v>4991</v>
      </c>
      <c r="BY45" s="117">
        <f t="shared" si="4"/>
        <v>78948</v>
      </c>
      <c r="BZ45" s="120"/>
      <c r="CA45" s="120">
        <v>234419</v>
      </c>
      <c r="CB45" s="120">
        <v>7305</v>
      </c>
      <c r="CC45" s="120">
        <v>26933</v>
      </c>
      <c r="CD45" s="120">
        <v>0</v>
      </c>
      <c r="CE45" s="120">
        <v>7666</v>
      </c>
      <c r="CF45" s="120">
        <v>0</v>
      </c>
      <c r="CG45" s="120">
        <v>0</v>
      </c>
      <c r="CH45" s="120">
        <v>0</v>
      </c>
      <c r="CI45" s="120">
        <v>0</v>
      </c>
      <c r="CJ45" s="120">
        <v>0</v>
      </c>
      <c r="CK45" s="120">
        <v>5360</v>
      </c>
      <c r="CL45" s="117">
        <f t="shared" si="5"/>
        <v>80034</v>
      </c>
      <c r="CM45" s="120"/>
      <c r="CN45" s="120">
        <v>13788</v>
      </c>
      <c r="CO45" s="120">
        <v>4504</v>
      </c>
      <c r="CP45" s="120">
        <v>2878</v>
      </c>
      <c r="CQ45" s="120">
        <v>0</v>
      </c>
      <c r="CR45" s="120">
        <v>567</v>
      </c>
      <c r="CS45" s="120">
        <v>0</v>
      </c>
      <c r="CT45" s="120">
        <v>0</v>
      </c>
      <c r="CU45" s="120">
        <v>0</v>
      </c>
      <c r="CV45" s="120">
        <v>0</v>
      </c>
      <c r="CW45" s="120">
        <v>0</v>
      </c>
      <c r="CX45" s="120">
        <v>1199</v>
      </c>
      <c r="CY45" s="117">
        <f t="shared" si="6"/>
        <v>5442</v>
      </c>
      <c r="CZ45" s="120"/>
      <c r="DA45" s="120">
        <v>15873</v>
      </c>
      <c r="DB45" s="120">
        <v>4326</v>
      </c>
      <c r="DC45" s="120">
        <v>2823</v>
      </c>
      <c r="DD45" s="120">
        <v>0</v>
      </c>
      <c r="DE45" s="120">
        <v>528</v>
      </c>
      <c r="DF45" s="120">
        <v>0</v>
      </c>
      <c r="DG45" s="120">
        <v>0</v>
      </c>
      <c r="DH45" s="120">
        <v>0</v>
      </c>
      <c r="DI45" s="120">
        <v>0</v>
      </c>
      <c r="DJ45" s="120">
        <v>0</v>
      </c>
      <c r="DK45" s="120">
        <v>948</v>
      </c>
      <c r="DL45" s="117">
        <f t="shared" si="7"/>
        <v>4477</v>
      </c>
      <c r="DM45" s="120"/>
      <c r="DN45" s="120">
        <v>8992</v>
      </c>
      <c r="DO45" s="120">
        <v>4156</v>
      </c>
      <c r="DP45" s="120">
        <v>2765</v>
      </c>
      <c r="DQ45" s="120">
        <v>0</v>
      </c>
      <c r="DR45" s="120">
        <v>462</v>
      </c>
      <c r="DS45" s="120">
        <v>0</v>
      </c>
      <c r="DT45" s="120">
        <v>0</v>
      </c>
      <c r="DU45" s="120">
        <v>0</v>
      </c>
      <c r="DV45" s="120">
        <v>0</v>
      </c>
      <c r="DW45" s="120">
        <v>0</v>
      </c>
      <c r="DX45" s="120">
        <v>1003</v>
      </c>
      <c r="DY45" s="117">
        <f t="shared" si="8"/>
        <v>4128</v>
      </c>
      <c r="DZ45" s="116"/>
      <c r="EA45" s="121">
        <f t="shared" si="16"/>
        <v>654915</v>
      </c>
      <c r="EB45" s="121">
        <f t="shared" si="16"/>
        <v>561863</v>
      </c>
      <c r="EC45" s="121">
        <f t="shared" si="16"/>
        <v>522198</v>
      </c>
      <c r="ED45" s="116"/>
      <c r="EE45" s="121" t="str">
        <f t="shared" si="10"/>
        <v/>
      </c>
      <c r="EF45" s="118" t="str">
        <f t="shared" si="11"/>
        <v/>
      </c>
      <c r="EG45" s="118" t="str">
        <f t="shared" si="12"/>
        <v/>
      </c>
      <c r="EH45" s="123"/>
      <c r="EI45" s="120">
        <v>9821619</v>
      </c>
      <c r="EJ45" s="120">
        <v>8106947</v>
      </c>
      <c r="EK45" s="120">
        <v>1230494</v>
      </c>
      <c r="EL45" s="120">
        <v>44194</v>
      </c>
      <c r="EM45" s="120">
        <v>439984</v>
      </c>
      <c r="EN45" s="117">
        <f t="shared" si="13"/>
        <v>9381635</v>
      </c>
      <c r="EO45" s="120">
        <v>9252261</v>
      </c>
      <c r="EP45" s="120">
        <v>7714488</v>
      </c>
      <c r="EQ45" s="120">
        <v>1079262</v>
      </c>
      <c r="ER45" s="120">
        <v>29219</v>
      </c>
      <c r="ES45" s="120">
        <v>429292</v>
      </c>
      <c r="ET45" s="117">
        <f t="shared" si="14"/>
        <v>8822969</v>
      </c>
      <c r="EU45" s="120">
        <v>8958938</v>
      </c>
      <c r="EV45" s="120">
        <v>7627836</v>
      </c>
      <c r="EW45" s="120">
        <v>896463</v>
      </c>
      <c r="EX45" s="120">
        <v>30466</v>
      </c>
      <c r="EY45" s="120">
        <v>404174</v>
      </c>
      <c r="EZ45" s="117">
        <f t="shared" si="15"/>
        <v>8554765</v>
      </c>
    </row>
    <row r="46" spans="1:156" x14ac:dyDescent="0.4">
      <c r="A46" s="116" t="s">
        <v>349</v>
      </c>
      <c r="B46" s="119">
        <v>4008752</v>
      </c>
      <c r="C46" s="116" t="s">
        <v>245</v>
      </c>
      <c r="D46" s="120">
        <v>0</v>
      </c>
      <c r="E46" s="120">
        <v>917252</v>
      </c>
      <c r="F46" s="120">
        <v>0</v>
      </c>
      <c r="G46" s="120">
        <v>0</v>
      </c>
      <c r="H46" s="120">
        <v>686670</v>
      </c>
      <c r="I46" s="120">
        <v>0</v>
      </c>
      <c r="J46" s="120">
        <v>0</v>
      </c>
      <c r="K46" s="120">
        <v>574141</v>
      </c>
      <c r="L46" s="120">
        <v>0</v>
      </c>
      <c r="M46" s="120"/>
      <c r="N46" s="120" t="s">
        <v>316</v>
      </c>
      <c r="O46" s="120" t="s">
        <v>316</v>
      </c>
      <c r="P46" s="120" t="s">
        <v>316</v>
      </c>
      <c r="Q46" s="120" t="s">
        <v>316</v>
      </c>
      <c r="R46" s="120" t="s">
        <v>316</v>
      </c>
      <c r="S46" s="120" t="s">
        <v>316</v>
      </c>
      <c r="T46" s="120" t="s">
        <v>316</v>
      </c>
      <c r="U46" s="120" t="s">
        <v>316</v>
      </c>
      <c r="V46" s="120" t="s">
        <v>316</v>
      </c>
      <c r="W46" s="120" t="s">
        <v>316</v>
      </c>
      <c r="X46" s="120" t="s">
        <v>316</v>
      </c>
      <c r="Y46" s="117">
        <f t="shared" si="0"/>
        <v>0</v>
      </c>
      <c r="Z46" s="120"/>
      <c r="AA46" s="120" t="s">
        <v>316</v>
      </c>
      <c r="AB46" s="120" t="s">
        <v>316</v>
      </c>
      <c r="AC46" s="120" t="s">
        <v>316</v>
      </c>
      <c r="AD46" s="120" t="s">
        <v>316</v>
      </c>
      <c r="AE46" s="120" t="s">
        <v>316</v>
      </c>
      <c r="AF46" s="120" t="s">
        <v>316</v>
      </c>
      <c r="AG46" s="120" t="s">
        <v>316</v>
      </c>
      <c r="AH46" s="120" t="s">
        <v>316</v>
      </c>
      <c r="AI46" s="120" t="s">
        <v>316</v>
      </c>
      <c r="AJ46" s="120" t="s">
        <v>316</v>
      </c>
      <c r="AK46" s="120" t="s">
        <v>316</v>
      </c>
      <c r="AL46" s="117">
        <f t="shared" si="1"/>
        <v>0</v>
      </c>
      <c r="AM46" s="120"/>
      <c r="AN46" s="120" t="s">
        <v>316</v>
      </c>
      <c r="AO46" s="120" t="s">
        <v>316</v>
      </c>
      <c r="AP46" s="120" t="s">
        <v>316</v>
      </c>
      <c r="AQ46" s="120" t="s">
        <v>316</v>
      </c>
      <c r="AR46" s="120" t="s">
        <v>316</v>
      </c>
      <c r="AS46" s="120" t="s">
        <v>316</v>
      </c>
      <c r="AT46" s="120" t="s">
        <v>316</v>
      </c>
      <c r="AU46" s="120" t="s">
        <v>316</v>
      </c>
      <c r="AV46" s="120" t="s">
        <v>316</v>
      </c>
      <c r="AW46" s="120" t="s">
        <v>316</v>
      </c>
      <c r="AX46" s="120" t="s">
        <v>316</v>
      </c>
      <c r="AY46" s="117">
        <f t="shared" si="2"/>
        <v>0</v>
      </c>
      <c r="AZ46" s="120"/>
      <c r="BA46" s="120">
        <v>664018</v>
      </c>
      <c r="BB46" s="120">
        <v>12008</v>
      </c>
      <c r="BC46" s="120">
        <v>44473</v>
      </c>
      <c r="BD46" s="120" t="s">
        <v>316</v>
      </c>
      <c r="BE46" s="120">
        <v>14923</v>
      </c>
      <c r="BF46" s="120">
        <v>0</v>
      </c>
      <c r="BG46" s="120">
        <v>0</v>
      </c>
      <c r="BH46" s="120">
        <v>0</v>
      </c>
      <c r="BI46" s="120">
        <v>192</v>
      </c>
      <c r="BJ46" s="120">
        <v>0</v>
      </c>
      <c r="BK46" s="120">
        <v>9693</v>
      </c>
      <c r="BL46" s="117">
        <f>BY46</f>
        <v>125022</v>
      </c>
      <c r="BM46" s="120"/>
      <c r="BN46" s="120">
        <v>476698</v>
      </c>
      <c r="BO46" s="120">
        <v>11301</v>
      </c>
      <c r="BP46" s="120">
        <v>52285</v>
      </c>
      <c r="BQ46" s="120" t="s">
        <v>316</v>
      </c>
      <c r="BR46" s="120">
        <v>13180</v>
      </c>
      <c r="BS46" s="120">
        <v>0</v>
      </c>
      <c r="BT46" s="120">
        <v>0</v>
      </c>
      <c r="BU46" s="120">
        <v>0</v>
      </c>
      <c r="BV46" s="120">
        <v>340</v>
      </c>
      <c r="BW46" s="120">
        <v>324</v>
      </c>
      <c r="BX46" s="120">
        <v>8168</v>
      </c>
      <c r="BY46" s="117">
        <f t="shared" si="4"/>
        <v>125022</v>
      </c>
      <c r="BZ46" s="120"/>
      <c r="CA46" s="120">
        <v>362761</v>
      </c>
      <c r="CB46" s="120">
        <v>12940</v>
      </c>
      <c r="CC46" s="120">
        <v>49887</v>
      </c>
      <c r="CD46" s="120" t="s">
        <v>316</v>
      </c>
      <c r="CE46" s="120">
        <v>9124</v>
      </c>
      <c r="CF46" s="120">
        <v>0</v>
      </c>
      <c r="CG46" s="120">
        <v>0</v>
      </c>
      <c r="CH46" s="120">
        <v>0</v>
      </c>
      <c r="CI46" s="120">
        <v>0</v>
      </c>
      <c r="CJ46" s="120">
        <v>0</v>
      </c>
      <c r="CK46" s="120">
        <v>9426</v>
      </c>
      <c r="CL46" s="117">
        <f t="shared" si="5"/>
        <v>130003</v>
      </c>
      <c r="CM46" s="120"/>
      <c r="CN46" s="120" t="s">
        <v>316</v>
      </c>
      <c r="CO46" s="120" t="s">
        <v>316</v>
      </c>
      <c r="CP46" s="120" t="s">
        <v>316</v>
      </c>
      <c r="CQ46" s="120" t="s">
        <v>316</v>
      </c>
      <c r="CR46" s="120" t="s">
        <v>316</v>
      </c>
      <c r="CS46" s="120" t="s">
        <v>316</v>
      </c>
      <c r="CT46" s="120" t="s">
        <v>316</v>
      </c>
      <c r="CU46" s="120" t="s">
        <v>316</v>
      </c>
      <c r="CV46" s="120" t="s">
        <v>316</v>
      </c>
      <c r="CW46" s="120" t="s">
        <v>316</v>
      </c>
      <c r="CX46" s="120" t="s">
        <v>316</v>
      </c>
      <c r="CY46" s="117">
        <f t="shared" si="6"/>
        <v>0</v>
      </c>
      <c r="CZ46" s="120"/>
      <c r="DA46" s="120" t="s">
        <v>316</v>
      </c>
      <c r="DB46" s="120" t="s">
        <v>316</v>
      </c>
      <c r="DC46" s="120" t="s">
        <v>316</v>
      </c>
      <c r="DD46" s="120" t="s">
        <v>316</v>
      </c>
      <c r="DE46" s="120" t="s">
        <v>316</v>
      </c>
      <c r="DF46" s="120" t="s">
        <v>316</v>
      </c>
      <c r="DG46" s="120" t="s">
        <v>316</v>
      </c>
      <c r="DH46" s="120" t="s">
        <v>316</v>
      </c>
      <c r="DI46" s="120" t="s">
        <v>316</v>
      </c>
      <c r="DJ46" s="120" t="s">
        <v>316</v>
      </c>
      <c r="DK46" s="120" t="s">
        <v>316</v>
      </c>
      <c r="DL46" s="117">
        <f t="shared" si="7"/>
        <v>0</v>
      </c>
      <c r="DM46" s="120"/>
      <c r="DN46" s="120" t="s">
        <v>316</v>
      </c>
      <c r="DO46" s="120" t="s">
        <v>316</v>
      </c>
      <c r="DP46" s="120" t="s">
        <v>316</v>
      </c>
      <c r="DQ46" s="120" t="s">
        <v>316</v>
      </c>
      <c r="DR46" s="120" t="s">
        <v>316</v>
      </c>
      <c r="DS46" s="120" t="s">
        <v>316</v>
      </c>
      <c r="DT46" s="120" t="s">
        <v>316</v>
      </c>
      <c r="DU46" s="120" t="s">
        <v>316</v>
      </c>
      <c r="DV46" s="120" t="s">
        <v>316</v>
      </c>
      <c r="DW46" s="120" t="s">
        <v>316</v>
      </c>
      <c r="DX46" s="120" t="s">
        <v>316</v>
      </c>
      <c r="DY46" s="117">
        <f t="shared" si="8"/>
        <v>0</v>
      </c>
      <c r="DZ46" s="116"/>
      <c r="EA46" s="121">
        <f t="shared" si="16"/>
        <v>125022</v>
      </c>
      <c r="EB46" s="121">
        <f t="shared" si="16"/>
        <v>125022</v>
      </c>
      <c r="EC46" s="121">
        <f t="shared" si="16"/>
        <v>130003</v>
      </c>
      <c r="ED46" s="116"/>
      <c r="EE46" s="121" t="str">
        <f t="shared" si="10"/>
        <v>ERROR</v>
      </c>
      <c r="EF46" s="118" t="str">
        <f t="shared" si="11"/>
        <v/>
      </c>
      <c r="EG46" s="118" t="str">
        <f t="shared" si="12"/>
        <v/>
      </c>
      <c r="EH46" s="123"/>
      <c r="EI46" s="120" t="s">
        <v>316</v>
      </c>
      <c r="EJ46" s="120" t="s">
        <v>316</v>
      </c>
      <c r="EK46" s="120" t="s">
        <v>316</v>
      </c>
      <c r="EL46" s="120" t="s">
        <v>316</v>
      </c>
      <c r="EM46" s="120" t="s">
        <v>316</v>
      </c>
      <c r="EN46" s="117">
        <f t="shared" si="13"/>
        <v>0</v>
      </c>
      <c r="EO46" s="120" t="s">
        <v>316</v>
      </c>
      <c r="EP46" s="120" t="s">
        <v>316</v>
      </c>
      <c r="EQ46" s="120" t="s">
        <v>316</v>
      </c>
      <c r="ER46" s="120" t="s">
        <v>316</v>
      </c>
      <c r="ES46" s="120" t="s">
        <v>316</v>
      </c>
      <c r="ET46" s="117">
        <f t="shared" si="14"/>
        <v>0</v>
      </c>
      <c r="EU46" s="120" t="s">
        <v>316</v>
      </c>
      <c r="EV46" s="120" t="s">
        <v>316</v>
      </c>
      <c r="EW46" s="120" t="s">
        <v>316</v>
      </c>
      <c r="EX46" s="120" t="s">
        <v>316</v>
      </c>
      <c r="EY46" s="120" t="s">
        <v>316</v>
      </c>
      <c r="EZ46" s="117">
        <f t="shared" si="15"/>
        <v>0</v>
      </c>
    </row>
    <row r="47" spans="1:156" x14ac:dyDescent="0.4">
      <c r="A47" s="116" t="s">
        <v>350</v>
      </c>
      <c r="B47" s="119">
        <v>4057106</v>
      </c>
      <c r="C47" s="116" t="s">
        <v>245</v>
      </c>
      <c r="D47" s="120">
        <v>1345656</v>
      </c>
      <c r="E47" s="120">
        <v>503446</v>
      </c>
      <c r="F47" s="120">
        <v>0</v>
      </c>
      <c r="G47" s="120">
        <v>1195374</v>
      </c>
      <c r="H47" s="120">
        <v>365783</v>
      </c>
      <c r="I47" s="120">
        <v>0</v>
      </c>
      <c r="J47" s="120">
        <v>1145979</v>
      </c>
      <c r="K47" s="120">
        <v>278537</v>
      </c>
      <c r="L47" s="120">
        <v>0</v>
      </c>
      <c r="M47" s="120"/>
      <c r="N47" s="120">
        <v>756704</v>
      </c>
      <c r="O47" s="120">
        <v>70135</v>
      </c>
      <c r="P47" s="120">
        <v>146807</v>
      </c>
      <c r="Q47" s="120">
        <v>0</v>
      </c>
      <c r="R47" s="120">
        <v>14050</v>
      </c>
      <c r="S47" s="120">
        <v>1791</v>
      </c>
      <c r="T47" s="120">
        <v>6707</v>
      </c>
      <c r="U47" s="120">
        <v>0</v>
      </c>
      <c r="V47" s="120">
        <v>8527</v>
      </c>
      <c r="W47" s="120">
        <v>620</v>
      </c>
      <c r="X47" s="120">
        <v>44378</v>
      </c>
      <c r="Y47" s="117">
        <f t="shared" si="0"/>
        <v>297177</v>
      </c>
      <c r="Z47" s="120"/>
      <c r="AA47" s="120">
        <v>649283</v>
      </c>
      <c r="AB47" s="120">
        <v>57148</v>
      </c>
      <c r="AC47" s="120">
        <v>138285</v>
      </c>
      <c r="AD47" s="120">
        <v>0</v>
      </c>
      <c r="AE47" s="120">
        <v>12419</v>
      </c>
      <c r="AF47" s="120">
        <v>1791</v>
      </c>
      <c r="AG47" s="120">
        <v>6707</v>
      </c>
      <c r="AH47" s="120">
        <v>0</v>
      </c>
      <c r="AI47" s="120">
        <v>13626</v>
      </c>
      <c r="AJ47" s="120">
        <v>280</v>
      </c>
      <c r="AK47" s="120">
        <v>42380</v>
      </c>
      <c r="AL47" s="117">
        <f t="shared" si="1"/>
        <v>274015</v>
      </c>
      <c r="AM47" s="120"/>
      <c r="AN47" s="120">
        <v>582207</v>
      </c>
      <c r="AO47" s="120">
        <v>49096</v>
      </c>
      <c r="AP47" s="120">
        <v>127674</v>
      </c>
      <c r="AQ47" s="120">
        <v>0</v>
      </c>
      <c r="AR47" s="120">
        <v>10783</v>
      </c>
      <c r="AS47" s="120">
        <v>1791</v>
      </c>
      <c r="AT47" s="120">
        <v>6707</v>
      </c>
      <c r="AU47" s="120">
        <v>0</v>
      </c>
      <c r="AV47" s="120">
        <v>26985</v>
      </c>
      <c r="AW47" s="120">
        <v>229</v>
      </c>
      <c r="AX47" s="120">
        <v>42072</v>
      </c>
      <c r="AY47" s="117">
        <f t="shared" si="2"/>
        <v>298893</v>
      </c>
      <c r="AZ47" s="120"/>
      <c r="BA47" s="120">
        <v>402647</v>
      </c>
      <c r="BB47" s="120">
        <v>4885</v>
      </c>
      <c r="BC47" s="120">
        <v>24349</v>
      </c>
      <c r="BD47" s="120">
        <v>0</v>
      </c>
      <c r="BE47" s="120">
        <v>2786</v>
      </c>
      <c r="BF47" s="120">
        <v>0</v>
      </c>
      <c r="BG47" s="120">
        <v>0</v>
      </c>
      <c r="BH47" s="120">
        <v>0</v>
      </c>
      <c r="BI47" s="120">
        <v>0</v>
      </c>
      <c r="BJ47" s="120">
        <v>0</v>
      </c>
      <c r="BK47" s="120">
        <v>4918</v>
      </c>
      <c r="BL47" s="117">
        <f t="shared" si="3"/>
        <v>63861</v>
      </c>
      <c r="BM47" s="120"/>
      <c r="BN47" s="120">
        <v>273953</v>
      </c>
      <c r="BO47" s="120">
        <v>5092</v>
      </c>
      <c r="BP47" s="120">
        <v>23955</v>
      </c>
      <c r="BQ47" s="120">
        <v>0</v>
      </c>
      <c r="BR47" s="120">
        <v>2315</v>
      </c>
      <c r="BS47" s="120">
        <v>0</v>
      </c>
      <c r="BT47" s="120">
        <v>0</v>
      </c>
      <c r="BU47" s="120">
        <v>0</v>
      </c>
      <c r="BV47" s="120">
        <v>0</v>
      </c>
      <c r="BW47" s="120">
        <v>0</v>
      </c>
      <c r="BX47" s="120">
        <v>4234</v>
      </c>
      <c r="BY47" s="117">
        <f t="shared" si="4"/>
        <v>56234</v>
      </c>
      <c r="BZ47" s="120"/>
      <c r="CA47" s="120">
        <v>187305</v>
      </c>
      <c r="CB47" s="120">
        <v>5280</v>
      </c>
      <c r="CC47" s="120">
        <v>21964</v>
      </c>
      <c r="CD47" s="120">
        <v>0</v>
      </c>
      <c r="CE47" s="120">
        <v>1910</v>
      </c>
      <c r="CF47" s="120">
        <v>0</v>
      </c>
      <c r="CG47" s="120">
        <v>0</v>
      </c>
      <c r="CH47" s="120">
        <v>0</v>
      </c>
      <c r="CI47" s="120">
        <v>0</v>
      </c>
      <c r="CJ47" s="120">
        <v>0</v>
      </c>
      <c r="CK47" s="120">
        <v>4470</v>
      </c>
      <c r="CL47" s="117">
        <f t="shared" si="5"/>
        <v>57608</v>
      </c>
      <c r="CM47" s="120"/>
      <c r="CN47" s="120">
        <v>0</v>
      </c>
      <c r="CO47" s="120">
        <v>0</v>
      </c>
      <c r="CP47" s="120">
        <v>0</v>
      </c>
      <c r="CQ47" s="120">
        <v>0</v>
      </c>
      <c r="CR47" s="120">
        <v>0</v>
      </c>
      <c r="CS47" s="120">
        <v>0</v>
      </c>
      <c r="CT47" s="120">
        <v>0</v>
      </c>
      <c r="CU47" s="120">
        <v>0</v>
      </c>
      <c r="CV47" s="120">
        <v>0</v>
      </c>
      <c r="CW47" s="120">
        <v>0</v>
      </c>
      <c r="CX47" s="120">
        <v>0</v>
      </c>
      <c r="CY47" s="117">
        <f t="shared" si="6"/>
        <v>0</v>
      </c>
      <c r="CZ47" s="120"/>
      <c r="DA47" s="120">
        <v>0</v>
      </c>
      <c r="DB47" s="120">
        <v>0</v>
      </c>
      <c r="DC47" s="120">
        <v>0</v>
      </c>
      <c r="DD47" s="120">
        <v>0</v>
      </c>
      <c r="DE47" s="120">
        <v>0</v>
      </c>
      <c r="DF47" s="120">
        <v>0</v>
      </c>
      <c r="DG47" s="120">
        <v>0</v>
      </c>
      <c r="DH47" s="120">
        <v>0</v>
      </c>
      <c r="DI47" s="120">
        <v>0</v>
      </c>
      <c r="DJ47" s="120">
        <v>0</v>
      </c>
      <c r="DK47" s="120">
        <v>0</v>
      </c>
      <c r="DL47" s="117">
        <f t="shared" si="7"/>
        <v>0</v>
      </c>
      <c r="DM47" s="120"/>
      <c r="DN47" s="120">
        <v>0</v>
      </c>
      <c r="DO47" s="120">
        <v>0</v>
      </c>
      <c r="DP47" s="120">
        <v>0</v>
      </c>
      <c r="DQ47" s="120">
        <v>0</v>
      </c>
      <c r="DR47" s="120">
        <v>0</v>
      </c>
      <c r="DS47" s="120">
        <v>0</v>
      </c>
      <c r="DT47" s="120">
        <v>0</v>
      </c>
      <c r="DU47" s="120">
        <v>0</v>
      </c>
      <c r="DV47" s="120">
        <v>0</v>
      </c>
      <c r="DW47" s="120">
        <v>0</v>
      </c>
      <c r="DX47" s="120">
        <v>0</v>
      </c>
      <c r="DY47" s="117">
        <f t="shared" si="8"/>
        <v>0</v>
      </c>
      <c r="DZ47" s="116"/>
      <c r="EA47" s="121">
        <f t="shared" si="16"/>
        <v>361038</v>
      </c>
      <c r="EB47" s="121">
        <f t="shared" si="16"/>
        <v>330249</v>
      </c>
      <c r="EC47" s="121">
        <f t="shared" si="16"/>
        <v>356501</v>
      </c>
      <c r="ED47" s="116"/>
      <c r="EE47" s="121" t="str">
        <f t="shared" si="10"/>
        <v/>
      </c>
      <c r="EF47" s="118" t="str">
        <f t="shared" si="11"/>
        <v/>
      </c>
      <c r="EG47" s="118" t="str">
        <f t="shared" si="12"/>
        <v/>
      </c>
      <c r="EH47" s="123"/>
      <c r="EI47" s="120">
        <v>5140973</v>
      </c>
      <c r="EJ47" s="120">
        <v>3974177</v>
      </c>
      <c r="EK47" s="120">
        <v>868112</v>
      </c>
      <c r="EL47" s="120">
        <v>0</v>
      </c>
      <c r="EM47" s="120">
        <v>298684</v>
      </c>
      <c r="EN47" s="117">
        <f t="shared" si="13"/>
        <v>4842289</v>
      </c>
      <c r="EO47" s="120">
        <v>4872441</v>
      </c>
      <c r="EP47" s="120">
        <v>3754765</v>
      </c>
      <c r="EQ47" s="120">
        <v>821698</v>
      </c>
      <c r="ER47" s="120">
        <v>0</v>
      </c>
      <c r="ES47" s="120">
        <v>295978</v>
      </c>
      <c r="ET47" s="117">
        <f t="shared" si="14"/>
        <v>4576463</v>
      </c>
      <c r="EU47" s="120">
        <v>4661259</v>
      </c>
      <c r="EV47" s="120">
        <v>3615904</v>
      </c>
      <c r="EW47" s="120">
        <v>758652</v>
      </c>
      <c r="EX47" s="120">
        <v>0</v>
      </c>
      <c r="EY47" s="120">
        <v>286703</v>
      </c>
      <c r="EZ47" s="117">
        <f t="shared" si="15"/>
        <v>4374556</v>
      </c>
    </row>
    <row r="48" spans="1:156" x14ac:dyDescent="0.4">
      <c r="A48" s="116" t="s">
        <v>351</v>
      </c>
      <c r="B48" s="119">
        <v>4887639</v>
      </c>
      <c r="C48" s="116" t="s">
        <v>245</v>
      </c>
      <c r="D48" s="120">
        <v>200704</v>
      </c>
      <c r="E48" s="120">
        <v>5654</v>
      </c>
      <c r="F48" s="120">
        <v>0</v>
      </c>
      <c r="G48" s="120">
        <v>174946</v>
      </c>
      <c r="H48" s="120">
        <v>4589</v>
      </c>
      <c r="I48" s="120">
        <v>0</v>
      </c>
      <c r="J48" s="120">
        <v>131420</v>
      </c>
      <c r="K48" s="120">
        <v>3326</v>
      </c>
      <c r="L48" s="120">
        <v>0</v>
      </c>
      <c r="M48" s="120"/>
      <c r="N48" s="120">
        <v>143242</v>
      </c>
      <c r="O48" s="120">
        <v>8558</v>
      </c>
      <c r="P48" s="120">
        <v>14437</v>
      </c>
      <c r="Q48" s="120">
        <v>0</v>
      </c>
      <c r="R48" s="120">
        <v>267</v>
      </c>
      <c r="S48" s="120">
        <v>0</v>
      </c>
      <c r="T48" s="120">
        <v>407</v>
      </c>
      <c r="U48" s="120">
        <v>0</v>
      </c>
      <c r="V48" s="120">
        <v>527</v>
      </c>
      <c r="W48" s="120">
        <v>8</v>
      </c>
      <c r="X48" s="120">
        <v>6095</v>
      </c>
      <c r="Y48" s="117">
        <f t="shared" si="0"/>
        <v>27179</v>
      </c>
      <c r="Z48" s="120"/>
      <c r="AA48" s="120">
        <v>115632</v>
      </c>
      <c r="AB48" s="120">
        <v>7170</v>
      </c>
      <c r="AC48" s="120">
        <v>13921</v>
      </c>
      <c r="AD48" s="120">
        <v>0</v>
      </c>
      <c r="AE48" s="120">
        <v>195</v>
      </c>
      <c r="AF48" s="120">
        <v>0</v>
      </c>
      <c r="AG48" s="120">
        <v>374</v>
      </c>
      <c r="AH48" s="120">
        <v>0</v>
      </c>
      <c r="AI48" s="120">
        <v>539</v>
      </c>
      <c r="AJ48" s="120">
        <v>8</v>
      </c>
      <c r="AK48" s="120">
        <v>5544</v>
      </c>
      <c r="AL48" s="117">
        <f t="shared" si="1"/>
        <v>31579</v>
      </c>
      <c r="AM48" s="120"/>
      <c r="AN48" s="120">
        <v>73114</v>
      </c>
      <c r="AO48" s="120">
        <v>4861</v>
      </c>
      <c r="AP48" s="120">
        <v>13567</v>
      </c>
      <c r="AQ48" s="120">
        <v>0</v>
      </c>
      <c r="AR48" s="120">
        <v>71</v>
      </c>
      <c r="AS48" s="120">
        <v>0</v>
      </c>
      <c r="AT48" s="120">
        <v>343</v>
      </c>
      <c r="AU48" s="120">
        <v>0</v>
      </c>
      <c r="AV48" s="120">
        <v>539</v>
      </c>
      <c r="AW48" s="120">
        <v>8</v>
      </c>
      <c r="AX48" s="120">
        <v>5171</v>
      </c>
      <c r="AY48" s="117">
        <f t="shared" si="2"/>
        <v>33762</v>
      </c>
      <c r="AZ48" s="120"/>
      <c r="BA48" s="120">
        <v>4810</v>
      </c>
      <c r="BB48" s="120">
        <v>80</v>
      </c>
      <c r="BC48" s="120">
        <v>259</v>
      </c>
      <c r="BD48" s="120">
        <v>0</v>
      </c>
      <c r="BE48" s="120">
        <v>19</v>
      </c>
      <c r="BF48" s="120">
        <v>0</v>
      </c>
      <c r="BG48" s="120">
        <v>0</v>
      </c>
      <c r="BH48" s="120">
        <v>0</v>
      </c>
      <c r="BI48" s="120">
        <v>0</v>
      </c>
      <c r="BJ48" s="120">
        <v>0</v>
      </c>
      <c r="BK48" s="120">
        <v>1010</v>
      </c>
      <c r="BL48" s="117">
        <f t="shared" si="3"/>
        <v>-524</v>
      </c>
      <c r="BM48" s="120"/>
      <c r="BN48" s="120">
        <v>3675</v>
      </c>
      <c r="BO48" s="120">
        <v>39</v>
      </c>
      <c r="BP48" s="120">
        <v>254</v>
      </c>
      <c r="BQ48" s="120">
        <v>0</v>
      </c>
      <c r="BR48" s="120">
        <v>16</v>
      </c>
      <c r="BS48" s="120">
        <v>0</v>
      </c>
      <c r="BT48" s="120">
        <v>0</v>
      </c>
      <c r="BU48" s="120">
        <v>0</v>
      </c>
      <c r="BV48" s="120">
        <v>0</v>
      </c>
      <c r="BW48" s="120">
        <v>0</v>
      </c>
      <c r="BX48" s="120">
        <v>907</v>
      </c>
      <c r="BY48" s="117">
        <f t="shared" si="4"/>
        <v>-302</v>
      </c>
      <c r="BZ48" s="120"/>
      <c r="CA48" s="120">
        <v>2677</v>
      </c>
      <c r="CB48" s="120">
        <v>52</v>
      </c>
      <c r="CC48" s="120">
        <v>244</v>
      </c>
      <c r="CD48" s="120">
        <v>0</v>
      </c>
      <c r="CE48" s="120">
        <v>9</v>
      </c>
      <c r="CF48" s="120">
        <v>0</v>
      </c>
      <c r="CG48" s="120">
        <v>0</v>
      </c>
      <c r="CH48" s="120">
        <v>0</v>
      </c>
      <c r="CI48" s="120">
        <v>0</v>
      </c>
      <c r="CJ48" s="120">
        <v>0</v>
      </c>
      <c r="CK48" s="120">
        <v>749</v>
      </c>
      <c r="CL48" s="117">
        <f t="shared" si="5"/>
        <v>-405</v>
      </c>
      <c r="CM48" s="120"/>
      <c r="CN48" s="120">
        <v>0</v>
      </c>
      <c r="CO48" s="120">
        <v>0</v>
      </c>
      <c r="CP48" s="120">
        <v>0</v>
      </c>
      <c r="CQ48" s="120">
        <v>0</v>
      </c>
      <c r="CR48" s="120">
        <v>0</v>
      </c>
      <c r="CS48" s="120">
        <v>0</v>
      </c>
      <c r="CT48" s="120">
        <v>0</v>
      </c>
      <c r="CU48" s="120">
        <v>0</v>
      </c>
      <c r="CV48" s="120">
        <v>0</v>
      </c>
      <c r="CW48" s="120">
        <v>0</v>
      </c>
      <c r="CX48" s="120">
        <v>0</v>
      </c>
      <c r="CY48" s="117">
        <f t="shared" si="6"/>
        <v>0</v>
      </c>
      <c r="CZ48" s="120"/>
      <c r="DA48" s="120">
        <v>0</v>
      </c>
      <c r="DB48" s="120">
        <v>0</v>
      </c>
      <c r="DC48" s="120">
        <v>0</v>
      </c>
      <c r="DD48" s="120">
        <v>0</v>
      </c>
      <c r="DE48" s="120">
        <v>0</v>
      </c>
      <c r="DF48" s="120">
        <v>0</v>
      </c>
      <c r="DG48" s="120">
        <v>0</v>
      </c>
      <c r="DH48" s="120">
        <v>0</v>
      </c>
      <c r="DI48" s="120">
        <v>0</v>
      </c>
      <c r="DJ48" s="120">
        <v>0</v>
      </c>
      <c r="DK48" s="120">
        <v>0</v>
      </c>
      <c r="DL48" s="117">
        <f t="shared" si="7"/>
        <v>0</v>
      </c>
      <c r="DM48" s="120"/>
      <c r="DN48" s="120">
        <v>0</v>
      </c>
      <c r="DO48" s="120">
        <v>0</v>
      </c>
      <c r="DP48" s="120">
        <v>0</v>
      </c>
      <c r="DQ48" s="120">
        <v>0</v>
      </c>
      <c r="DR48" s="120">
        <v>0</v>
      </c>
      <c r="DS48" s="120">
        <v>0</v>
      </c>
      <c r="DT48" s="120">
        <v>0</v>
      </c>
      <c r="DU48" s="120">
        <v>0</v>
      </c>
      <c r="DV48" s="120">
        <v>0</v>
      </c>
      <c r="DW48" s="120">
        <v>0</v>
      </c>
      <c r="DX48" s="120">
        <v>0</v>
      </c>
      <c r="DY48" s="117">
        <f t="shared" si="8"/>
        <v>0</v>
      </c>
      <c r="DZ48" s="116"/>
      <c r="EA48" s="121">
        <f t="shared" si="16"/>
        <v>26655</v>
      </c>
      <c r="EB48" s="121">
        <f t="shared" si="16"/>
        <v>31277</v>
      </c>
      <c r="EC48" s="121">
        <f t="shared" si="16"/>
        <v>33357</v>
      </c>
      <c r="ED48" s="116"/>
      <c r="EE48" s="121" t="str">
        <f t="shared" si="10"/>
        <v/>
      </c>
      <c r="EF48" s="118" t="str">
        <f t="shared" si="11"/>
        <v/>
      </c>
      <c r="EG48" s="118" t="str">
        <f t="shared" si="12"/>
        <v/>
      </c>
      <c r="EH48" s="123"/>
      <c r="EI48" s="120">
        <v>393614</v>
      </c>
      <c r="EJ48" s="120">
        <v>380357</v>
      </c>
      <c r="EK48" s="120">
        <v>10863</v>
      </c>
      <c r="EL48" s="120">
        <v>0</v>
      </c>
      <c r="EM48" s="120">
        <v>2395</v>
      </c>
      <c r="EN48" s="117">
        <f t="shared" si="13"/>
        <v>391220</v>
      </c>
      <c r="EO48" s="120">
        <v>387446</v>
      </c>
      <c r="EP48" s="120">
        <v>376042</v>
      </c>
      <c r="EQ48" s="120">
        <v>9070</v>
      </c>
      <c r="ER48" s="120">
        <v>0</v>
      </c>
      <c r="ES48" s="120">
        <v>2335</v>
      </c>
      <c r="ET48" s="117">
        <f t="shared" si="14"/>
        <v>385112</v>
      </c>
      <c r="EU48" s="120">
        <v>385453</v>
      </c>
      <c r="EV48" s="120">
        <v>375552</v>
      </c>
      <c r="EW48" s="120">
        <v>8092</v>
      </c>
      <c r="EX48" s="120">
        <v>0</v>
      </c>
      <c r="EY48" s="120">
        <v>1809</v>
      </c>
      <c r="EZ48" s="117">
        <f t="shared" si="15"/>
        <v>383644</v>
      </c>
    </row>
    <row r="49" spans="1:156" x14ac:dyDescent="0.4">
      <c r="A49" s="116" t="s">
        <v>352</v>
      </c>
      <c r="B49" s="119">
        <v>4057754</v>
      </c>
      <c r="C49" s="116" t="s">
        <v>91</v>
      </c>
      <c r="D49" s="120">
        <v>5479199</v>
      </c>
      <c r="E49" s="120">
        <v>1020031</v>
      </c>
      <c r="F49" s="120">
        <v>0</v>
      </c>
      <c r="G49" s="120">
        <v>4887254</v>
      </c>
      <c r="H49" s="120">
        <v>626925</v>
      </c>
      <c r="I49" s="120">
        <v>0</v>
      </c>
      <c r="J49" s="120">
        <v>4449179</v>
      </c>
      <c r="K49" s="120">
        <v>501722</v>
      </c>
      <c r="L49" s="120">
        <v>0</v>
      </c>
      <c r="M49" s="120"/>
      <c r="N49" s="120">
        <v>3145443</v>
      </c>
      <c r="O49" s="120">
        <v>213489</v>
      </c>
      <c r="P49" s="120">
        <v>825951</v>
      </c>
      <c r="Q49" s="120">
        <v>-12014</v>
      </c>
      <c r="R49" s="120">
        <v>80367</v>
      </c>
      <c r="S49" s="120">
        <v>3093</v>
      </c>
      <c r="T49" s="120">
        <v>8821</v>
      </c>
      <c r="U49" s="120">
        <v>0</v>
      </c>
      <c r="V49" s="120">
        <v>225971</v>
      </c>
      <c r="W49" s="120">
        <v>111622</v>
      </c>
      <c r="X49" s="120">
        <v>252631</v>
      </c>
      <c r="Y49" s="117">
        <f t="shared" si="0"/>
        <v>847069</v>
      </c>
      <c r="Z49" s="120"/>
      <c r="AA49" s="120">
        <v>2817568</v>
      </c>
      <c r="AB49" s="120">
        <v>220074</v>
      </c>
      <c r="AC49" s="120">
        <v>751374</v>
      </c>
      <c r="AD49" s="120">
        <v>-9255</v>
      </c>
      <c r="AE49" s="120">
        <v>67532</v>
      </c>
      <c r="AF49" s="120">
        <v>3004</v>
      </c>
      <c r="AG49" s="120">
        <v>8821</v>
      </c>
      <c r="AH49" s="120">
        <v>0</v>
      </c>
      <c r="AI49" s="120">
        <v>88929</v>
      </c>
      <c r="AJ49" s="120">
        <v>154399</v>
      </c>
      <c r="AK49" s="120">
        <v>241520</v>
      </c>
      <c r="AL49" s="117">
        <f t="shared" si="1"/>
        <v>852086</v>
      </c>
      <c r="AM49" s="120"/>
      <c r="AN49" s="120">
        <v>2589607</v>
      </c>
      <c r="AO49" s="120">
        <v>208711</v>
      </c>
      <c r="AP49" s="120">
        <v>660074</v>
      </c>
      <c r="AQ49" s="120">
        <v>-6214</v>
      </c>
      <c r="AR49" s="120">
        <v>64154</v>
      </c>
      <c r="AS49" s="120">
        <v>212</v>
      </c>
      <c r="AT49" s="120">
        <v>8503</v>
      </c>
      <c r="AU49" s="120">
        <v>0</v>
      </c>
      <c r="AV49" s="120">
        <v>74216</v>
      </c>
      <c r="AW49" s="120">
        <v>245755</v>
      </c>
      <c r="AX49" s="120">
        <v>236315</v>
      </c>
      <c r="AY49" s="117">
        <f t="shared" si="2"/>
        <v>859356</v>
      </c>
      <c r="AZ49" s="120"/>
      <c r="BA49" s="120">
        <v>850847</v>
      </c>
      <c r="BB49" s="120">
        <v>16421</v>
      </c>
      <c r="BC49" s="120">
        <v>51855</v>
      </c>
      <c r="BD49" s="120">
        <v>409</v>
      </c>
      <c r="BE49" s="120">
        <v>7266</v>
      </c>
      <c r="BF49" s="120">
        <v>0</v>
      </c>
      <c r="BG49" s="120">
        <v>0</v>
      </c>
      <c r="BH49" s="120">
        <v>0</v>
      </c>
      <c r="BI49" s="120">
        <v>6</v>
      </c>
      <c r="BJ49" s="120">
        <v>12261</v>
      </c>
      <c r="BK49" s="120">
        <v>25230</v>
      </c>
      <c r="BL49" s="117">
        <f t="shared" si="3"/>
        <v>80258</v>
      </c>
      <c r="BM49" s="120"/>
      <c r="BN49" s="120">
        <v>489593</v>
      </c>
      <c r="BO49" s="120">
        <v>14026</v>
      </c>
      <c r="BP49" s="120">
        <v>49455</v>
      </c>
      <c r="BQ49" s="120">
        <v>298</v>
      </c>
      <c r="BR49" s="120">
        <v>6218</v>
      </c>
      <c r="BS49" s="120">
        <v>0</v>
      </c>
      <c r="BT49" s="120">
        <v>0</v>
      </c>
      <c r="BU49" s="120">
        <v>0</v>
      </c>
      <c r="BV49" s="120">
        <v>399</v>
      </c>
      <c r="BW49" s="120">
        <v>8858</v>
      </c>
      <c r="BX49" s="120">
        <v>23888</v>
      </c>
      <c r="BY49" s="117">
        <f t="shared" si="4"/>
        <v>51906</v>
      </c>
      <c r="BZ49" s="120"/>
      <c r="CA49" s="120">
        <v>364205</v>
      </c>
      <c r="CB49" s="120">
        <v>11040</v>
      </c>
      <c r="CC49" s="120">
        <v>44184</v>
      </c>
      <c r="CD49" s="120">
        <v>280</v>
      </c>
      <c r="CE49" s="120">
        <v>6082</v>
      </c>
      <c r="CF49" s="120">
        <v>0</v>
      </c>
      <c r="CG49" s="120">
        <v>0</v>
      </c>
      <c r="CH49" s="120">
        <v>0</v>
      </c>
      <c r="CI49" s="120">
        <v>2875</v>
      </c>
      <c r="CJ49" s="120">
        <v>1954</v>
      </c>
      <c r="CK49" s="120">
        <v>22205</v>
      </c>
      <c r="CL49" s="117">
        <f t="shared" si="5"/>
        <v>52805</v>
      </c>
      <c r="CM49" s="120"/>
      <c r="CN49" s="120">
        <v>0</v>
      </c>
      <c r="CO49" s="120">
        <v>0</v>
      </c>
      <c r="CP49" s="120">
        <v>0</v>
      </c>
      <c r="CQ49" s="120">
        <v>0</v>
      </c>
      <c r="CR49" s="120">
        <v>0</v>
      </c>
      <c r="CS49" s="120">
        <v>0</v>
      </c>
      <c r="CT49" s="120">
        <v>0</v>
      </c>
      <c r="CU49" s="120">
        <v>0</v>
      </c>
      <c r="CV49" s="120">
        <v>0</v>
      </c>
      <c r="CW49" s="120">
        <v>0</v>
      </c>
      <c r="CX49" s="120">
        <v>0</v>
      </c>
      <c r="CY49" s="117">
        <f t="shared" si="6"/>
        <v>0</v>
      </c>
      <c r="CZ49" s="120"/>
      <c r="DA49" s="120">
        <v>0</v>
      </c>
      <c r="DB49" s="120">
        <v>0</v>
      </c>
      <c r="DC49" s="120">
        <v>0</v>
      </c>
      <c r="DD49" s="120">
        <v>0</v>
      </c>
      <c r="DE49" s="120">
        <v>0</v>
      </c>
      <c r="DF49" s="120">
        <v>0</v>
      </c>
      <c r="DG49" s="120">
        <v>0</v>
      </c>
      <c r="DH49" s="120">
        <v>0</v>
      </c>
      <c r="DI49" s="120">
        <v>0</v>
      </c>
      <c r="DJ49" s="120">
        <v>0</v>
      </c>
      <c r="DK49" s="120">
        <v>0</v>
      </c>
      <c r="DL49" s="117">
        <f t="shared" si="7"/>
        <v>0</v>
      </c>
      <c r="DM49" s="120"/>
      <c r="DN49" s="120">
        <v>0</v>
      </c>
      <c r="DO49" s="120">
        <v>0</v>
      </c>
      <c r="DP49" s="120">
        <v>0</v>
      </c>
      <c r="DQ49" s="120">
        <v>0</v>
      </c>
      <c r="DR49" s="120">
        <v>0</v>
      </c>
      <c r="DS49" s="120">
        <v>0</v>
      </c>
      <c r="DT49" s="120">
        <v>0</v>
      </c>
      <c r="DU49" s="120">
        <v>0</v>
      </c>
      <c r="DV49" s="120">
        <v>0</v>
      </c>
      <c r="DW49" s="120">
        <v>0</v>
      </c>
      <c r="DX49" s="120">
        <v>0</v>
      </c>
      <c r="DY49" s="117">
        <f t="shared" si="8"/>
        <v>0</v>
      </c>
      <c r="DZ49" s="116"/>
      <c r="EA49" s="121">
        <f t="shared" si="16"/>
        <v>927327</v>
      </c>
      <c r="EB49" s="121">
        <f t="shared" si="16"/>
        <v>903992</v>
      </c>
      <c r="EC49" s="121">
        <f t="shared" si="16"/>
        <v>912161</v>
      </c>
      <c r="ED49" s="116"/>
      <c r="EE49" s="121" t="str">
        <f t="shared" si="10"/>
        <v/>
      </c>
      <c r="EF49" s="118" t="str">
        <f t="shared" si="11"/>
        <v/>
      </c>
      <c r="EG49" s="118" t="str">
        <f t="shared" si="12"/>
        <v/>
      </c>
      <c r="EH49" s="116"/>
      <c r="EI49" s="120">
        <v>16808459</v>
      </c>
      <c r="EJ49" s="120">
        <v>14632283</v>
      </c>
      <c r="EK49" s="120">
        <v>1389628</v>
      </c>
      <c r="EL49" s="120">
        <v>0</v>
      </c>
      <c r="EM49" s="120">
        <v>786548</v>
      </c>
      <c r="EN49" s="117">
        <f t="shared" si="13"/>
        <v>16021911</v>
      </c>
      <c r="EO49" s="120">
        <v>15893378</v>
      </c>
      <c r="EP49" s="120">
        <v>13950540</v>
      </c>
      <c r="EQ49" s="120">
        <v>1225605</v>
      </c>
      <c r="ER49" s="120">
        <v>0</v>
      </c>
      <c r="ES49" s="120">
        <v>717233</v>
      </c>
      <c r="ET49" s="117">
        <f t="shared" si="14"/>
        <v>15176145</v>
      </c>
      <c r="EU49" s="120">
        <v>14894750</v>
      </c>
      <c r="EV49" s="120">
        <v>13191930</v>
      </c>
      <c r="EW49" s="120">
        <v>1046144</v>
      </c>
      <c r="EX49" s="120">
        <v>0</v>
      </c>
      <c r="EY49" s="120">
        <v>656677</v>
      </c>
      <c r="EZ49" s="117">
        <f t="shared" si="15"/>
        <v>14238074</v>
      </c>
    </row>
    <row r="50" spans="1:156" x14ac:dyDescent="0.4">
      <c r="A50" s="116" t="s">
        <v>353</v>
      </c>
      <c r="B50" s="119">
        <v>4061925</v>
      </c>
      <c r="C50" s="116" t="s">
        <v>91</v>
      </c>
      <c r="D50" s="120">
        <v>1000063</v>
      </c>
      <c r="E50" s="120">
        <v>201430</v>
      </c>
      <c r="F50" s="120">
        <v>131</v>
      </c>
      <c r="G50" s="120">
        <v>921226</v>
      </c>
      <c r="H50" s="120">
        <v>179301</v>
      </c>
      <c r="I50" s="120">
        <v>137</v>
      </c>
      <c r="J50" s="120">
        <v>855398</v>
      </c>
      <c r="K50" s="120">
        <v>120041</v>
      </c>
      <c r="L50" s="120">
        <v>136</v>
      </c>
      <c r="M50" s="120"/>
      <c r="N50" s="120">
        <v>640298</v>
      </c>
      <c r="O50" s="120">
        <v>31692</v>
      </c>
      <c r="P50" s="120">
        <v>116437</v>
      </c>
      <c r="Q50" s="120">
        <v>2324</v>
      </c>
      <c r="R50" s="120">
        <v>14204</v>
      </c>
      <c r="S50" s="120">
        <v>0</v>
      </c>
      <c r="T50" s="120">
        <v>0</v>
      </c>
      <c r="U50" s="120">
        <v>0</v>
      </c>
      <c r="V50" s="120">
        <v>1020</v>
      </c>
      <c r="W50" s="120">
        <v>2820</v>
      </c>
      <c r="X50" s="120">
        <v>27624</v>
      </c>
      <c r="Y50" s="117">
        <f t="shared" si="0"/>
        <v>169284</v>
      </c>
      <c r="Z50" s="120"/>
      <c r="AA50" s="120">
        <v>593909</v>
      </c>
      <c r="AB50" s="120">
        <v>24498</v>
      </c>
      <c r="AC50" s="120">
        <v>111214</v>
      </c>
      <c r="AD50" s="120">
        <v>2326</v>
      </c>
      <c r="AE50" s="120">
        <v>10173</v>
      </c>
      <c r="AF50" s="120">
        <v>0</v>
      </c>
      <c r="AG50" s="120">
        <v>0</v>
      </c>
      <c r="AH50" s="120">
        <v>0</v>
      </c>
      <c r="AI50" s="120">
        <v>197</v>
      </c>
      <c r="AJ50" s="120">
        <v>4578</v>
      </c>
      <c r="AK50" s="120">
        <v>26676</v>
      </c>
      <c r="AL50" s="117">
        <f t="shared" si="1"/>
        <v>156811</v>
      </c>
      <c r="AM50" s="120"/>
      <c r="AN50" s="120">
        <v>556250</v>
      </c>
      <c r="AO50" s="120">
        <v>24000</v>
      </c>
      <c r="AP50" s="120">
        <v>104771</v>
      </c>
      <c r="AQ50" s="120">
        <v>556</v>
      </c>
      <c r="AR50" s="120">
        <v>10293</v>
      </c>
      <c r="AS50" s="120">
        <v>0</v>
      </c>
      <c r="AT50" s="120">
        <v>0</v>
      </c>
      <c r="AU50" s="120">
        <v>0</v>
      </c>
      <c r="AV50" s="120">
        <v>0</v>
      </c>
      <c r="AW50" s="120">
        <v>8018</v>
      </c>
      <c r="AX50" s="120">
        <v>25580</v>
      </c>
      <c r="AY50" s="117">
        <f t="shared" si="2"/>
        <v>141966</v>
      </c>
      <c r="AZ50" s="120"/>
      <c r="BA50" s="120">
        <v>154561</v>
      </c>
      <c r="BB50" s="120">
        <v>2934</v>
      </c>
      <c r="BC50" s="120">
        <v>12387</v>
      </c>
      <c r="BD50" s="120">
        <v>91</v>
      </c>
      <c r="BE50" s="120">
        <v>1478</v>
      </c>
      <c r="BF50" s="120">
        <v>0</v>
      </c>
      <c r="BG50" s="120">
        <v>0</v>
      </c>
      <c r="BH50" s="120">
        <v>0</v>
      </c>
      <c r="BI50" s="120">
        <v>100</v>
      </c>
      <c r="BJ50" s="120">
        <v>597</v>
      </c>
      <c r="BK50" s="120">
        <v>2822</v>
      </c>
      <c r="BL50" s="117">
        <f t="shared" si="3"/>
        <v>27654</v>
      </c>
      <c r="BM50" s="120"/>
      <c r="BN50" s="120">
        <v>148056</v>
      </c>
      <c r="BO50" s="120">
        <v>2534</v>
      </c>
      <c r="BP50" s="120">
        <v>13449</v>
      </c>
      <c r="BQ50" s="120">
        <v>61</v>
      </c>
      <c r="BR50" s="120">
        <v>1130</v>
      </c>
      <c r="BS50" s="120">
        <v>0</v>
      </c>
      <c r="BT50" s="120">
        <v>0</v>
      </c>
      <c r="BU50" s="120">
        <v>0</v>
      </c>
      <c r="BV50" s="120">
        <v>0</v>
      </c>
      <c r="BW50" s="120">
        <v>645</v>
      </c>
      <c r="BX50" s="120">
        <v>2201</v>
      </c>
      <c r="BY50" s="117">
        <f t="shared" si="4"/>
        <v>12515</v>
      </c>
      <c r="BZ50" s="120"/>
      <c r="CA50" s="120">
        <v>111691</v>
      </c>
      <c r="CB50" s="120">
        <v>1996</v>
      </c>
      <c r="CC50" s="120">
        <v>12647</v>
      </c>
      <c r="CD50" s="120">
        <v>63</v>
      </c>
      <c r="CE50" s="120">
        <v>1046</v>
      </c>
      <c r="CF50" s="120">
        <v>0</v>
      </c>
      <c r="CG50" s="120">
        <v>0</v>
      </c>
      <c r="CH50" s="120">
        <v>0</v>
      </c>
      <c r="CI50" s="120">
        <v>378</v>
      </c>
      <c r="CJ50" s="120">
        <v>1197</v>
      </c>
      <c r="CK50" s="120">
        <v>2288</v>
      </c>
      <c r="CL50" s="117">
        <f t="shared" si="5"/>
        <v>-8871</v>
      </c>
      <c r="CM50" s="120"/>
      <c r="CN50" s="120">
        <v>0</v>
      </c>
      <c r="CO50" s="120">
        <v>0</v>
      </c>
      <c r="CP50" s="120">
        <v>38</v>
      </c>
      <c r="CQ50" s="120">
        <v>0</v>
      </c>
      <c r="CR50" s="120">
        <v>0</v>
      </c>
      <c r="CS50" s="120">
        <v>0</v>
      </c>
      <c r="CT50" s="120">
        <v>0</v>
      </c>
      <c r="CU50" s="120">
        <v>0</v>
      </c>
      <c r="CV50" s="120">
        <v>0</v>
      </c>
      <c r="CW50" s="120">
        <v>0</v>
      </c>
      <c r="CX50" s="120">
        <v>0</v>
      </c>
      <c r="CY50" s="117">
        <f t="shared" si="6"/>
        <v>93</v>
      </c>
      <c r="CZ50" s="120"/>
      <c r="DA50" s="120">
        <v>0</v>
      </c>
      <c r="DB50" s="120">
        <v>0</v>
      </c>
      <c r="DC50" s="120">
        <v>38</v>
      </c>
      <c r="DD50" s="120">
        <v>0</v>
      </c>
      <c r="DE50" s="120">
        <v>0</v>
      </c>
      <c r="DF50" s="120">
        <v>0</v>
      </c>
      <c r="DG50" s="120">
        <v>0</v>
      </c>
      <c r="DH50" s="120">
        <v>0</v>
      </c>
      <c r="DI50" s="120">
        <v>0</v>
      </c>
      <c r="DJ50" s="120">
        <v>0</v>
      </c>
      <c r="DK50" s="120">
        <v>0</v>
      </c>
      <c r="DL50" s="117">
        <f t="shared" si="7"/>
        <v>99</v>
      </c>
      <c r="DM50" s="120"/>
      <c r="DN50" s="120">
        <v>0</v>
      </c>
      <c r="DO50" s="120">
        <v>0</v>
      </c>
      <c r="DP50" s="120">
        <v>38</v>
      </c>
      <c r="DQ50" s="120">
        <v>0</v>
      </c>
      <c r="DR50" s="120">
        <v>0</v>
      </c>
      <c r="DS50" s="120">
        <v>0</v>
      </c>
      <c r="DT50" s="120">
        <v>0</v>
      </c>
      <c r="DU50" s="120">
        <v>0</v>
      </c>
      <c r="DV50" s="120">
        <v>0</v>
      </c>
      <c r="DW50" s="120">
        <v>0</v>
      </c>
      <c r="DX50" s="120">
        <v>0</v>
      </c>
      <c r="DY50" s="117">
        <f t="shared" si="8"/>
        <v>98</v>
      </c>
      <c r="DZ50" s="116"/>
      <c r="EA50" s="121">
        <f t="shared" si="16"/>
        <v>197031</v>
      </c>
      <c r="EB50" s="121">
        <f t="shared" si="16"/>
        <v>169425</v>
      </c>
      <c r="EC50" s="121">
        <f t="shared" si="16"/>
        <v>133193</v>
      </c>
      <c r="ED50" s="116"/>
      <c r="EE50" s="121" t="str">
        <f t="shared" si="10"/>
        <v/>
      </c>
      <c r="EF50" s="118" t="str">
        <f t="shared" si="11"/>
        <v/>
      </c>
      <c r="EG50" s="118" t="str">
        <f t="shared" si="12"/>
        <v/>
      </c>
      <c r="EH50" s="116"/>
      <c r="EI50" s="120">
        <v>2701844</v>
      </c>
      <c r="EJ50" s="120">
        <v>2257241</v>
      </c>
      <c r="EK50" s="120">
        <v>263912</v>
      </c>
      <c r="EL50" s="120">
        <v>0</v>
      </c>
      <c r="EM50" s="120">
        <v>180691</v>
      </c>
      <c r="EN50" s="117">
        <f t="shared" si="13"/>
        <v>2521153</v>
      </c>
      <c r="EO50" s="120">
        <v>2467791</v>
      </c>
      <c r="EP50" s="120">
        <v>2070455</v>
      </c>
      <c r="EQ50" s="120">
        <v>229104</v>
      </c>
      <c r="ER50" s="120">
        <v>0</v>
      </c>
      <c r="ES50" s="120">
        <v>168233</v>
      </c>
      <c r="ET50" s="117">
        <f t="shared" si="14"/>
        <v>2299559</v>
      </c>
      <c r="EU50" s="120">
        <v>2305453</v>
      </c>
      <c r="EV50" s="120">
        <v>1947369</v>
      </c>
      <c r="EW50" s="120">
        <v>207548</v>
      </c>
      <c r="EX50" s="120">
        <v>0</v>
      </c>
      <c r="EY50" s="120">
        <v>150535</v>
      </c>
      <c r="EZ50" s="117">
        <f t="shared" si="15"/>
        <v>2154917</v>
      </c>
    </row>
    <row r="51" spans="1:156" x14ac:dyDescent="0.4">
      <c r="A51" s="116" t="s">
        <v>354</v>
      </c>
      <c r="B51" s="119">
        <v>4057094</v>
      </c>
      <c r="C51" s="116" t="s">
        <v>91</v>
      </c>
      <c r="D51" s="120">
        <v>3951136</v>
      </c>
      <c r="E51" s="120">
        <v>1895823</v>
      </c>
      <c r="F51" s="120">
        <v>21932</v>
      </c>
      <c r="G51" s="120">
        <v>3552172</v>
      </c>
      <c r="H51" s="120">
        <v>1361613</v>
      </c>
      <c r="I51" s="120">
        <v>19762</v>
      </c>
      <c r="J51" s="120">
        <v>3243207</v>
      </c>
      <c r="K51" s="120">
        <v>1046176</v>
      </c>
      <c r="L51" s="120">
        <v>17227</v>
      </c>
      <c r="M51" s="120"/>
      <c r="N51" s="120">
        <v>2238041</v>
      </c>
      <c r="O51" s="120">
        <v>152804</v>
      </c>
      <c r="P51" s="120">
        <v>558696</v>
      </c>
      <c r="Q51" s="120">
        <v>37912</v>
      </c>
      <c r="R51" s="120">
        <v>54313</v>
      </c>
      <c r="S51" s="120">
        <v>6540</v>
      </c>
      <c r="T51" s="120">
        <v>18888</v>
      </c>
      <c r="U51" s="120">
        <v>0</v>
      </c>
      <c r="V51" s="120">
        <v>32788</v>
      </c>
      <c r="W51" s="120">
        <v>44984</v>
      </c>
      <c r="X51" s="120">
        <v>184996</v>
      </c>
      <c r="Y51" s="117">
        <f t="shared" si="0"/>
        <v>711142</v>
      </c>
      <c r="Z51" s="120"/>
      <c r="AA51" s="120">
        <v>2034650</v>
      </c>
      <c r="AB51" s="120">
        <v>136822</v>
      </c>
      <c r="AC51" s="120">
        <v>491587</v>
      </c>
      <c r="AD51" s="120">
        <v>3782</v>
      </c>
      <c r="AE51" s="120">
        <v>46604</v>
      </c>
      <c r="AF51" s="120">
        <v>5940</v>
      </c>
      <c r="AG51" s="120">
        <v>18642</v>
      </c>
      <c r="AH51" s="120">
        <v>0</v>
      </c>
      <c r="AI51" s="120">
        <v>83309</v>
      </c>
      <c r="AJ51" s="120">
        <v>73980</v>
      </c>
      <c r="AK51" s="120">
        <v>188914</v>
      </c>
      <c r="AL51" s="117">
        <f t="shared" si="1"/>
        <v>615902</v>
      </c>
      <c r="AM51" s="120"/>
      <c r="AN51" s="120">
        <v>1775475</v>
      </c>
      <c r="AO51" s="120">
        <v>141403</v>
      </c>
      <c r="AP51" s="120">
        <v>448808</v>
      </c>
      <c r="AQ51" s="120">
        <v>230</v>
      </c>
      <c r="AR51" s="120">
        <v>41167</v>
      </c>
      <c r="AS51" s="120">
        <v>5771</v>
      </c>
      <c r="AT51" s="120">
        <v>-10418</v>
      </c>
      <c r="AU51" s="120">
        <v>0</v>
      </c>
      <c r="AV51" s="120">
        <v>75994</v>
      </c>
      <c r="AW51" s="120">
        <v>25206</v>
      </c>
      <c r="AX51" s="120">
        <v>175917</v>
      </c>
      <c r="AY51" s="117">
        <f t="shared" si="2"/>
        <v>614066</v>
      </c>
      <c r="AZ51" s="120"/>
      <c r="BA51" s="120">
        <v>1278160</v>
      </c>
      <c r="BB51" s="120">
        <v>41491</v>
      </c>
      <c r="BC51" s="120">
        <v>164563</v>
      </c>
      <c r="BD51" s="120">
        <v>1813</v>
      </c>
      <c r="BE51" s="120">
        <v>18159</v>
      </c>
      <c r="BF51" s="120">
        <v>0</v>
      </c>
      <c r="BG51" s="120">
        <v>0</v>
      </c>
      <c r="BH51" s="120">
        <v>0</v>
      </c>
      <c r="BI51" s="120">
        <v>60042</v>
      </c>
      <c r="BJ51" s="120">
        <v>22676</v>
      </c>
      <c r="BK51" s="120">
        <v>64427</v>
      </c>
      <c r="BL51" s="117">
        <f t="shared" si="3"/>
        <v>289844</v>
      </c>
      <c r="BM51" s="120"/>
      <c r="BN51" s="120">
        <v>800040</v>
      </c>
      <c r="BO51" s="120">
        <v>38626</v>
      </c>
      <c r="BP51" s="120">
        <v>147796</v>
      </c>
      <c r="BQ51" s="120">
        <v>1635</v>
      </c>
      <c r="BR51" s="120">
        <v>15429</v>
      </c>
      <c r="BS51" s="120">
        <v>0</v>
      </c>
      <c r="BT51" s="120">
        <v>0</v>
      </c>
      <c r="BU51" s="120">
        <v>0</v>
      </c>
      <c r="BV51" s="120">
        <v>47762</v>
      </c>
      <c r="BW51" s="120">
        <v>25883</v>
      </c>
      <c r="BX51" s="120">
        <v>64654</v>
      </c>
      <c r="BY51" s="117">
        <f t="shared" si="4"/>
        <v>271554</v>
      </c>
      <c r="BZ51" s="120"/>
      <c r="CA51" s="120">
        <v>611516</v>
      </c>
      <c r="CB51" s="120">
        <v>36039</v>
      </c>
      <c r="CC51" s="120">
        <v>129631</v>
      </c>
      <c r="CD51" s="120">
        <v>1548</v>
      </c>
      <c r="CE51" s="120">
        <v>15032</v>
      </c>
      <c r="CF51" s="120">
        <v>0</v>
      </c>
      <c r="CG51" s="120">
        <v>0</v>
      </c>
      <c r="CH51" s="120">
        <v>0</v>
      </c>
      <c r="CI51" s="120">
        <v>13489</v>
      </c>
      <c r="CJ51" s="120">
        <v>26506</v>
      </c>
      <c r="CK51" s="120">
        <v>59717</v>
      </c>
      <c r="CL51" s="117">
        <f t="shared" si="5"/>
        <v>205710</v>
      </c>
      <c r="CM51" s="120"/>
      <c r="CN51" s="120">
        <v>11286</v>
      </c>
      <c r="CO51" s="120">
        <v>2266</v>
      </c>
      <c r="CP51" s="120">
        <v>3828</v>
      </c>
      <c r="CQ51" s="120">
        <v>-5</v>
      </c>
      <c r="CR51" s="120">
        <v>123</v>
      </c>
      <c r="CS51" s="120">
        <v>0</v>
      </c>
      <c r="CT51" s="120">
        <v>0</v>
      </c>
      <c r="CU51" s="120">
        <v>0</v>
      </c>
      <c r="CV51" s="120">
        <v>5</v>
      </c>
      <c r="CW51" s="120">
        <v>0</v>
      </c>
      <c r="CX51" s="120">
        <v>1142</v>
      </c>
      <c r="CY51" s="117">
        <f t="shared" si="6"/>
        <v>3287</v>
      </c>
      <c r="CZ51" s="120"/>
      <c r="DA51" s="120">
        <v>10538</v>
      </c>
      <c r="DB51" s="120">
        <v>1742</v>
      </c>
      <c r="DC51" s="120">
        <v>3606</v>
      </c>
      <c r="DD51" s="120">
        <v>-5</v>
      </c>
      <c r="DE51" s="120">
        <v>109</v>
      </c>
      <c r="DF51" s="120">
        <v>0</v>
      </c>
      <c r="DG51" s="120">
        <v>0</v>
      </c>
      <c r="DH51" s="120">
        <v>0</v>
      </c>
      <c r="DI51" s="120">
        <v>5</v>
      </c>
      <c r="DJ51" s="120">
        <v>0</v>
      </c>
      <c r="DK51" s="120">
        <v>1223</v>
      </c>
      <c r="DL51" s="117">
        <f t="shared" si="7"/>
        <v>2544</v>
      </c>
      <c r="DM51" s="120"/>
      <c r="DN51" s="120">
        <v>7729</v>
      </c>
      <c r="DO51" s="120">
        <v>2547</v>
      </c>
      <c r="DP51" s="120">
        <v>3532</v>
      </c>
      <c r="DQ51" s="120">
        <v>-5</v>
      </c>
      <c r="DR51" s="120">
        <v>108</v>
      </c>
      <c r="DS51" s="120">
        <v>0</v>
      </c>
      <c r="DT51" s="120">
        <v>0</v>
      </c>
      <c r="DU51" s="120">
        <v>0</v>
      </c>
      <c r="DV51" s="120">
        <v>5</v>
      </c>
      <c r="DW51" s="120">
        <v>0</v>
      </c>
      <c r="DX51" s="120">
        <v>1223</v>
      </c>
      <c r="DY51" s="117">
        <f t="shared" si="8"/>
        <v>2088</v>
      </c>
      <c r="DZ51" s="116"/>
      <c r="EA51" s="121">
        <f t="shared" ref="EA51:EC56" si="17">SUMIF($D$9:$DY$9,EA$9,$D51:$DY51)</f>
        <v>1004273</v>
      </c>
      <c r="EB51" s="121">
        <f t="shared" si="17"/>
        <v>890000</v>
      </c>
      <c r="EC51" s="121">
        <f t="shared" si="17"/>
        <v>821864</v>
      </c>
      <c r="ED51" s="116"/>
      <c r="EE51" s="121" t="str">
        <f t="shared" si="10"/>
        <v/>
      </c>
      <c r="EF51" s="118" t="str">
        <f t="shared" si="11"/>
        <v/>
      </c>
      <c r="EG51" s="118" t="str">
        <f t="shared" si="12"/>
        <v/>
      </c>
      <c r="EH51" s="116"/>
      <c r="EI51" s="120">
        <v>19548423</v>
      </c>
      <c r="EJ51" s="120">
        <v>13714080</v>
      </c>
      <c r="EK51" s="120">
        <v>4619841</v>
      </c>
      <c r="EL51" s="120">
        <v>68897</v>
      </c>
      <c r="EM51" s="120">
        <v>1145605</v>
      </c>
      <c r="EN51" s="117">
        <f t="shared" si="13"/>
        <v>18402818</v>
      </c>
      <c r="EO51" s="120">
        <v>18376356</v>
      </c>
      <c r="EP51" s="120">
        <v>13009181</v>
      </c>
      <c r="EQ51" s="120">
        <v>4226071</v>
      </c>
      <c r="ER51" s="120">
        <v>67058</v>
      </c>
      <c r="ES51" s="120">
        <v>1074046</v>
      </c>
      <c r="ET51" s="117">
        <f t="shared" si="14"/>
        <v>17302310</v>
      </c>
      <c r="EU51" s="120">
        <v>17527452</v>
      </c>
      <c r="EV51" s="120">
        <v>12394336</v>
      </c>
      <c r="EW51" s="120">
        <v>3937907</v>
      </c>
      <c r="EX51" s="120">
        <v>65910</v>
      </c>
      <c r="EY51" s="120">
        <v>1129300</v>
      </c>
      <c r="EZ51" s="117">
        <f t="shared" si="15"/>
        <v>16398153</v>
      </c>
    </row>
    <row r="52" spans="1:156" x14ac:dyDescent="0.4">
      <c r="A52" s="116" t="s">
        <v>355</v>
      </c>
      <c r="B52" s="119">
        <v>4057027</v>
      </c>
      <c r="C52" s="116" t="s">
        <v>91</v>
      </c>
      <c r="D52" s="120">
        <v>2232051</v>
      </c>
      <c r="E52" s="120">
        <v>0</v>
      </c>
      <c r="F52" s="120">
        <v>0</v>
      </c>
      <c r="G52" s="120">
        <v>2280499</v>
      </c>
      <c r="H52" s="120">
        <v>0</v>
      </c>
      <c r="I52" s="120">
        <v>0</v>
      </c>
      <c r="J52" s="120">
        <v>1733917</v>
      </c>
      <c r="K52" s="120">
        <v>0</v>
      </c>
      <c r="L52" s="120">
        <v>0</v>
      </c>
      <c r="M52" s="120"/>
      <c r="N52" s="120">
        <v>1278812</v>
      </c>
      <c r="O52" s="120">
        <v>47368</v>
      </c>
      <c r="P52" s="120">
        <v>323381</v>
      </c>
      <c r="Q52" s="120">
        <v>3091</v>
      </c>
      <c r="R52" s="120">
        <v>25912</v>
      </c>
      <c r="S52" s="120">
        <v>0</v>
      </c>
      <c r="T52" s="120">
        <v>0</v>
      </c>
      <c r="U52" s="120">
        <v>0</v>
      </c>
      <c r="V52" s="120">
        <v>33838</v>
      </c>
      <c r="W52" s="120">
        <v>9317</v>
      </c>
      <c r="X52" s="120">
        <v>99462</v>
      </c>
      <c r="Y52" s="117">
        <f t="shared" si="0"/>
        <v>429504</v>
      </c>
      <c r="Z52" s="120"/>
      <c r="AA52" s="120">
        <v>1449482</v>
      </c>
      <c r="AB52" s="120">
        <v>56876</v>
      </c>
      <c r="AC52" s="120">
        <v>303402</v>
      </c>
      <c r="AD52" s="120">
        <v>2987</v>
      </c>
      <c r="AE52" s="120">
        <v>24920</v>
      </c>
      <c r="AF52" s="120">
        <v>0</v>
      </c>
      <c r="AG52" s="120">
        <v>0</v>
      </c>
      <c r="AH52" s="120">
        <v>0</v>
      </c>
      <c r="AI52" s="120">
        <v>2723</v>
      </c>
      <c r="AJ52" s="120">
        <v>26208</v>
      </c>
      <c r="AK52" s="120">
        <v>87917</v>
      </c>
      <c r="AL52" s="117">
        <f t="shared" si="1"/>
        <v>378400</v>
      </c>
      <c r="AM52" s="120"/>
      <c r="AN52" s="120">
        <v>1015368</v>
      </c>
      <c r="AO52" s="120">
        <v>51849</v>
      </c>
      <c r="AP52" s="120">
        <v>254485</v>
      </c>
      <c r="AQ52" s="120">
        <v>2121</v>
      </c>
      <c r="AR52" s="120">
        <v>25916</v>
      </c>
      <c r="AS52" s="120">
        <v>0</v>
      </c>
      <c r="AT52" s="120">
        <v>0</v>
      </c>
      <c r="AU52" s="120">
        <v>0</v>
      </c>
      <c r="AV52" s="120">
        <v>4970</v>
      </c>
      <c r="AW52" s="120">
        <v>65649</v>
      </c>
      <c r="AX52" s="120">
        <v>87010</v>
      </c>
      <c r="AY52" s="117">
        <f t="shared" si="2"/>
        <v>357847</v>
      </c>
      <c r="AZ52" s="120"/>
      <c r="BA52" s="120">
        <v>0</v>
      </c>
      <c r="BB52" s="120">
        <v>0</v>
      </c>
      <c r="BC52" s="120">
        <v>0</v>
      </c>
      <c r="BD52" s="120">
        <v>0</v>
      </c>
      <c r="BE52" s="120">
        <v>0</v>
      </c>
      <c r="BF52" s="120">
        <v>0</v>
      </c>
      <c r="BG52" s="120">
        <v>0</v>
      </c>
      <c r="BH52" s="120">
        <v>0</v>
      </c>
      <c r="BI52" s="120">
        <v>0</v>
      </c>
      <c r="BJ52" s="120">
        <v>0</v>
      </c>
      <c r="BK52" s="120">
        <v>0</v>
      </c>
      <c r="BL52" s="117">
        <f t="shared" si="3"/>
        <v>0</v>
      </c>
      <c r="BM52" s="120"/>
      <c r="BN52" s="120">
        <v>0</v>
      </c>
      <c r="BO52" s="120">
        <v>0</v>
      </c>
      <c r="BP52" s="120">
        <v>0</v>
      </c>
      <c r="BQ52" s="120">
        <v>0</v>
      </c>
      <c r="BR52" s="120">
        <v>0</v>
      </c>
      <c r="BS52" s="120">
        <v>0</v>
      </c>
      <c r="BT52" s="120">
        <v>0</v>
      </c>
      <c r="BU52" s="120">
        <v>0</v>
      </c>
      <c r="BV52" s="120">
        <v>0</v>
      </c>
      <c r="BW52" s="120">
        <v>0</v>
      </c>
      <c r="BX52" s="120">
        <v>0</v>
      </c>
      <c r="BY52" s="117">
        <f t="shared" si="4"/>
        <v>0</v>
      </c>
      <c r="BZ52" s="120"/>
      <c r="CA52" s="120">
        <v>0</v>
      </c>
      <c r="CB52" s="120">
        <v>0</v>
      </c>
      <c r="CC52" s="120">
        <v>0</v>
      </c>
      <c r="CD52" s="120">
        <v>0</v>
      </c>
      <c r="CE52" s="120">
        <v>0</v>
      </c>
      <c r="CF52" s="120">
        <v>0</v>
      </c>
      <c r="CG52" s="120">
        <v>0</v>
      </c>
      <c r="CH52" s="120">
        <v>0</v>
      </c>
      <c r="CI52" s="120">
        <v>0</v>
      </c>
      <c r="CJ52" s="120">
        <v>0</v>
      </c>
      <c r="CK52" s="120">
        <v>0</v>
      </c>
      <c r="CL52" s="117">
        <f t="shared" si="5"/>
        <v>0</v>
      </c>
      <c r="CM52" s="120"/>
      <c r="CN52" s="120">
        <v>0</v>
      </c>
      <c r="CO52" s="120">
        <v>0</v>
      </c>
      <c r="CP52" s="120">
        <v>0</v>
      </c>
      <c r="CQ52" s="120">
        <v>0</v>
      </c>
      <c r="CR52" s="120">
        <v>0</v>
      </c>
      <c r="CS52" s="120">
        <v>0</v>
      </c>
      <c r="CT52" s="120">
        <v>0</v>
      </c>
      <c r="CU52" s="120">
        <v>0</v>
      </c>
      <c r="CV52" s="120">
        <v>0</v>
      </c>
      <c r="CW52" s="120">
        <v>0</v>
      </c>
      <c r="CX52" s="120">
        <v>0</v>
      </c>
      <c r="CY52" s="117">
        <f t="shared" si="6"/>
        <v>0</v>
      </c>
      <c r="CZ52" s="120"/>
      <c r="DA52" s="120">
        <v>0</v>
      </c>
      <c r="DB52" s="120">
        <v>0</v>
      </c>
      <c r="DC52" s="120">
        <v>0</v>
      </c>
      <c r="DD52" s="120">
        <v>0</v>
      </c>
      <c r="DE52" s="120">
        <v>0</v>
      </c>
      <c r="DF52" s="120">
        <v>0</v>
      </c>
      <c r="DG52" s="120">
        <v>0</v>
      </c>
      <c r="DH52" s="120">
        <v>0</v>
      </c>
      <c r="DI52" s="120">
        <v>0</v>
      </c>
      <c r="DJ52" s="120">
        <v>0</v>
      </c>
      <c r="DK52" s="120">
        <v>0</v>
      </c>
      <c r="DL52" s="117">
        <f t="shared" si="7"/>
        <v>0</v>
      </c>
      <c r="DM52" s="120"/>
      <c r="DN52" s="120">
        <v>0</v>
      </c>
      <c r="DO52" s="120">
        <v>0</v>
      </c>
      <c r="DP52" s="120">
        <v>0</v>
      </c>
      <c r="DQ52" s="120">
        <v>0</v>
      </c>
      <c r="DR52" s="120">
        <v>0</v>
      </c>
      <c r="DS52" s="120">
        <v>0</v>
      </c>
      <c r="DT52" s="120">
        <v>0</v>
      </c>
      <c r="DU52" s="120">
        <v>0</v>
      </c>
      <c r="DV52" s="120">
        <v>0</v>
      </c>
      <c r="DW52" s="120">
        <v>0</v>
      </c>
      <c r="DX52" s="120">
        <v>0</v>
      </c>
      <c r="DY52" s="117">
        <f t="shared" si="8"/>
        <v>0</v>
      </c>
      <c r="DZ52" s="116"/>
      <c r="EA52" s="121">
        <f t="shared" si="17"/>
        <v>429504</v>
      </c>
      <c r="EB52" s="121">
        <f t="shared" si="17"/>
        <v>378400</v>
      </c>
      <c r="EC52" s="121">
        <f t="shared" si="17"/>
        <v>357847</v>
      </c>
      <c r="ED52" s="116"/>
      <c r="EE52" s="121" t="str">
        <f t="shared" si="10"/>
        <v/>
      </c>
      <c r="EF52" s="118" t="str">
        <f t="shared" si="11"/>
        <v/>
      </c>
      <c r="EG52" s="118" t="str">
        <f t="shared" si="12"/>
        <v/>
      </c>
      <c r="EH52" s="116"/>
      <c r="EI52" s="120">
        <v>8362992</v>
      </c>
      <c r="EJ52" s="120">
        <v>8323764</v>
      </c>
      <c r="EK52" s="120">
        <v>0</v>
      </c>
      <c r="EL52" s="120">
        <v>0</v>
      </c>
      <c r="EM52" s="120">
        <v>39228</v>
      </c>
      <c r="EN52" s="117">
        <f t="shared" si="13"/>
        <v>8323764</v>
      </c>
      <c r="EO52" s="120">
        <v>8110939</v>
      </c>
      <c r="EP52" s="120">
        <v>8070292</v>
      </c>
      <c r="EQ52" s="120">
        <v>0</v>
      </c>
      <c r="ER52" s="120">
        <v>0</v>
      </c>
      <c r="ES52" s="120">
        <v>40647</v>
      </c>
      <c r="ET52" s="117">
        <f t="shared" si="14"/>
        <v>8070292</v>
      </c>
      <c r="EU52" s="120">
        <v>7916989</v>
      </c>
      <c r="EV52" s="120">
        <v>7875332</v>
      </c>
      <c r="EW52" s="120">
        <v>0</v>
      </c>
      <c r="EX52" s="120">
        <v>0</v>
      </c>
      <c r="EY52" s="120">
        <v>41657</v>
      </c>
      <c r="EZ52" s="117">
        <f t="shared" si="15"/>
        <v>7875332</v>
      </c>
    </row>
    <row r="53" spans="1:156" x14ac:dyDescent="0.4">
      <c r="A53" s="116" t="s">
        <v>356</v>
      </c>
      <c r="B53" s="119">
        <v>3001167</v>
      </c>
      <c r="C53" s="116" t="s">
        <v>357</v>
      </c>
      <c r="D53" s="120">
        <v>220734</v>
      </c>
      <c r="E53" s="120">
        <v>0</v>
      </c>
      <c r="F53" s="120">
        <v>0</v>
      </c>
      <c r="G53" s="120">
        <v>194645</v>
      </c>
      <c r="H53" s="120">
        <v>0</v>
      </c>
      <c r="I53" s="120">
        <v>0</v>
      </c>
      <c r="J53" s="120">
        <v>165131</v>
      </c>
      <c r="K53" s="120">
        <v>0</v>
      </c>
      <c r="L53" s="120">
        <v>0</v>
      </c>
      <c r="M53" s="120"/>
      <c r="N53" s="120">
        <v>74648</v>
      </c>
      <c r="O53" s="120">
        <v>24353</v>
      </c>
      <c r="P53" s="120">
        <v>37880</v>
      </c>
      <c r="Q53" s="120">
        <v>0</v>
      </c>
      <c r="R53" s="120">
        <v>6084</v>
      </c>
      <c r="S53" s="120">
        <v>0</v>
      </c>
      <c r="T53" s="120">
        <v>0</v>
      </c>
      <c r="U53" s="120">
        <v>0</v>
      </c>
      <c r="V53" s="120">
        <v>13275</v>
      </c>
      <c r="W53" s="120">
        <v>7674</v>
      </c>
      <c r="X53" s="120">
        <v>20736</v>
      </c>
      <c r="Y53" s="117">
        <f t="shared" si="0"/>
        <v>51432</v>
      </c>
      <c r="Z53" s="120"/>
      <c r="AA53" s="120">
        <v>53156</v>
      </c>
      <c r="AB53" s="120">
        <v>19335</v>
      </c>
      <c r="AC53" s="120">
        <v>36563</v>
      </c>
      <c r="AD53" s="120">
        <v>0</v>
      </c>
      <c r="AE53" s="120">
        <v>4989</v>
      </c>
      <c r="AF53" s="120">
        <v>0</v>
      </c>
      <c r="AG53" s="120">
        <v>0</v>
      </c>
      <c r="AH53" s="120">
        <v>0</v>
      </c>
      <c r="AI53" s="120">
        <v>15511</v>
      </c>
      <c r="AJ53" s="120">
        <v>10176</v>
      </c>
      <c r="AK53" s="120">
        <v>19698</v>
      </c>
      <c r="AL53" s="117">
        <f t="shared" si="1"/>
        <v>55569</v>
      </c>
      <c r="AM53" s="120"/>
      <c r="AN53" s="120">
        <v>38808</v>
      </c>
      <c r="AO53" s="120">
        <v>20541</v>
      </c>
      <c r="AP53" s="120">
        <v>34329</v>
      </c>
      <c r="AQ53" s="120">
        <v>0</v>
      </c>
      <c r="AR53" s="120">
        <v>4657</v>
      </c>
      <c r="AS53" s="120">
        <v>0</v>
      </c>
      <c r="AT53" s="120">
        <v>0</v>
      </c>
      <c r="AU53" s="120">
        <v>0</v>
      </c>
      <c r="AV53" s="120">
        <v>8538</v>
      </c>
      <c r="AW53" s="120">
        <v>8413</v>
      </c>
      <c r="AX53" s="120">
        <v>18898</v>
      </c>
      <c r="AY53" s="117">
        <f t="shared" si="2"/>
        <v>47773</v>
      </c>
      <c r="AZ53" s="120"/>
      <c r="BA53" s="120">
        <v>0</v>
      </c>
      <c r="BB53" s="120">
        <v>0</v>
      </c>
      <c r="BC53" s="120">
        <v>0</v>
      </c>
      <c r="BD53" s="120">
        <v>0</v>
      </c>
      <c r="BE53" s="120">
        <v>0</v>
      </c>
      <c r="BF53" s="120">
        <v>0</v>
      </c>
      <c r="BG53" s="120">
        <v>0</v>
      </c>
      <c r="BH53" s="120">
        <v>0</v>
      </c>
      <c r="BI53" s="120">
        <v>0</v>
      </c>
      <c r="BJ53" s="120">
        <v>0</v>
      </c>
      <c r="BK53" s="120">
        <v>0</v>
      </c>
      <c r="BL53" s="117">
        <f t="shared" si="3"/>
        <v>0</v>
      </c>
      <c r="BM53" s="120"/>
      <c r="BN53" s="120">
        <v>0</v>
      </c>
      <c r="BO53" s="120">
        <v>0</v>
      </c>
      <c r="BP53" s="120">
        <v>0</v>
      </c>
      <c r="BQ53" s="120">
        <v>0</v>
      </c>
      <c r="BR53" s="120">
        <v>0</v>
      </c>
      <c r="BS53" s="120">
        <v>0</v>
      </c>
      <c r="BT53" s="120">
        <v>0</v>
      </c>
      <c r="BU53" s="120">
        <v>0</v>
      </c>
      <c r="BV53" s="120">
        <v>0</v>
      </c>
      <c r="BW53" s="120">
        <v>0</v>
      </c>
      <c r="BX53" s="120">
        <v>0</v>
      </c>
      <c r="BY53" s="117">
        <f t="shared" si="4"/>
        <v>0</v>
      </c>
      <c r="BZ53" s="120"/>
      <c r="CA53" s="120">
        <v>0</v>
      </c>
      <c r="CB53" s="120">
        <v>0</v>
      </c>
      <c r="CC53" s="120">
        <v>0</v>
      </c>
      <c r="CD53" s="120">
        <v>0</v>
      </c>
      <c r="CE53" s="120">
        <v>0</v>
      </c>
      <c r="CF53" s="120">
        <v>0</v>
      </c>
      <c r="CG53" s="120">
        <v>0</v>
      </c>
      <c r="CH53" s="120">
        <v>0</v>
      </c>
      <c r="CI53" s="120">
        <v>0</v>
      </c>
      <c r="CJ53" s="120">
        <v>0</v>
      </c>
      <c r="CK53" s="120">
        <v>0</v>
      </c>
      <c r="CL53" s="117">
        <f t="shared" si="5"/>
        <v>0</v>
      </c>
      <c r="CM53" s="120"/>
      <c r="CN53" s="120">
        <v>0</v>
      </c>
      <c r="CO53" s="120">
        <v>0</v>
      </c>
      <c r="CP53" s="120">
        <v>0</v>
      </c>
      <c r="CQ53" s="120">
        <v>0</v>
      </c>
      <c r="CR53" s="120">
        <v>0</v>
      </c>
      <c r="CS53" s="120">
        <v>0</v>
      </c>
      <c r="CT53" s="120">
        <v>0</v>
      </c>
      <c r="CU53" s="120">
        <v>0</v>
      </c>
      <c r="CV53" s="120">
        <v>0</v>
      </c>
      <c r="CW53" s="120">
        <v>0</v>
      </c>
      <c r="CX53" s="120">
        <v>0</v>
      </c>
      <c r="CY53" s="117">
        <f t="shared" si="6"/>
        <v>0</v>
      </c>
      <c r="CZ53" s="120"/>
      <c r="DA53" s="120">
        <v>0</v>
      </c>
      <c r="DB53" s="120">
        <v>0</v>
      </c>
      <c r="DC53" s="120">
        <v>0</v>
      </c>
      <c r="DD53" s="120">
        <v>0</v>
      </c>
      <c r="DE53" s="120">
        <v>0</v>
      </c>
      <c r="DF53" s="120">
        <v>0</v>
      </c>
      <c r="DG53" s="120">
        <v>0</v>
      </c>
      <c r="DH53" s="120">
        <v>0</v>
      </c>
      <c r="DI53" s="120">
        <v>0</v>
      </c>
      <c r="DJ53" s="120">
        <v>0</v>
      </c>
      <c r="DK53" s="120">
        <v>0</v>
      </c>
      <c r="DL53" s="117">
        <f t="shared" si="7"/>
        <v>0</v>
      </c>
      <c r="DM53" s="120"/>
      <c r="DN53" s="120">
        <v>0</v>
      </c>
      <c r="DO53" s="120">
        <v>0</v>
      </c>
      <c r="DP53" s="120">
        <v>0</v>
      </c>
      <c r="DQ53" s="120">
        <v>0</v>
      </c>
      <c r="DR53" s="120">
        <v>0</v>
      </c>
      <c r="DS53" s="120">
        <v>0</v>
      </c>
      <c r="DT53" s="120">
        <v>0</v>
      </c>
      <c r="DU53" s="120">
        <v>0</v>
      </c>
      <c r="DV53" s="120">
        <v>0</v>
      </c>
      <c r="DW53" s="120">
        <v>0</v>
      </c>
      <c r="DX53" s="120">
        <v>0</v>
      </c>
      <c r="DY53" s="117">
        <f t="shared" si="8"/>
        <v>0</v>
      </c>
      <c r="DZ53" s="116"/>
      <c r="EA53" s="121">
        <f t="shared" si="17"/>
        <v>51432</v>
      </c>
      <c r="EB53" s="121">
        <f t="shared" si="17"/>
        <v>55569</v>
      </c>
      <c r="EC53" s="121">
        <f t="shared" si="17"/>
        <v>47773</v>
      </c>
      <c r="ED53" s="116"/>
      <c r="EE53" s="121" t="str">
        <f t="shared" si="10"/>
        <v/>
      </c>
      <c r="EF53" s="118" t="str">
        <f t="shared" si="11"/>
        <v/>
      </c>
      <c r="EG53" s="118" t="str">
        <f t="shared" si="12"/>
        <v/>
      </c>
      <c r="EH53" s="116"/>
      <c r="EI53" s="120">
        <v>1240359</v>
      </c>
      <c r="EJ53" s="120">
        <v>1240359</v>
      </c>
      <c r="EK53" s="120">
        <v>0</v>
      </c>
      <c r="EL53" s="120">
        <v>0</v>
      </c>
      <c r="EM53" s="120">
        <v>0</v>
      </c>
      <c r="EN53" s="117">
        <f t="shared" si="13"/>
        <v>1240359</v>
      </c>
      <c r="EO53" s="120">
        <v>1220534</v>
      </c>
      <c r="EP53" s="120">
        <v>1220534</v>
      </c>
      <c r="EQ53" s="120">
        <v>0</v>
      </c>
      <c r="ER53" s="120">
        <v>0</v>
      </c>
      <c r="ES53" s="120">
        <v>0</v>
      </c>
      <c r="ET53" s="117">
        <f t="shared" si="14"/>
        <v>1220534</v>
      </c>
      <c r="EU53" s="120">
        <v>1150072</v>
      </c>
      <c r="EV53" s="120">
        <v>1150072</v>
      </c>
      <c r="EW53" s="120">
        <v>0</v>
      </c>
      <c r="EX53" s="120">
        <v>0</v>
      </c>
      <c r="EY53" s="120">
        <v>0</v>
      </c>
      <c r="EZ53" s="117">
        <f t="shared" si="15"/>
        <v>1150072</v>
      </c>
    </row>
    <row r="54" spans="1:156" x14ac:dyDescent="0.4">
      <c r="A54" s="116" t="s">
        <v>358</v>
      </c>
      <c r="B54" s="119">
        <v>4194228</v>
      </c>
      <c r="C54" s="116" t="s">
        <v>359</v>
      </c>
      <c r="D54" s="120" t="s">
        <v>316</v>
      </c>
      <c r="E54" s="120" t="s">
        <v>316</v>
      </c>
      <c r="F54" s="120" t="s">
        <v>316</v>
      </c>
      <c r="G54" s="120">
        <v>0</v>
      </c>
      <c r="H54" s="120">
        <v>426760</v>
      </c>
      <c r="I54" s="120">
        <v>764</v>
      </c>
      <c r="J54" s="120">
        <v>0</v>
      </c>
      <c r="K54" s="120">
        <v>301965</v>
      </c>
      <c r="L54" s="120">
        <v>665</v>
      </c>
      <c r="M54" s="120"/>
      <c r="N54" s="120" t="s">
        <v>316</v>
      </c>
      <c r="O54" s="120" t="s">
        <v>316</v>
      </c>
      <c r="P54" s="120" t="s">
        <v>316</v>
      </c>
      <c r="Q54" s="120" t="s">
        <v>316</v>
      </c>
      <c r="R54" s="120" t="s">
        <v>316</v>
      </c>
      <c r="S54" s="120" t="s">
        <v>316</v>
      </c>
      <c r="T54" s="120" t="s">
        <v>316</v>
      </c>
      <c r="U54" s="120" t="s">
        <v>316</v>
      </c>
      <c r="V54" s="120" t="s">
        <v>316</v>
      </c>
      <c r="W54" s="120" t="s">
        <v>316</v>
      </c>
      <c r="X54" s="120" t="s">
        <v>316</v>
      </c>
      <c r="Y54" s="117">
        <f t="shared" si="0"/>
        <v>0</v>
      </c>
      <c r="Z54" s="120"/>
      <c r="AA54" s="120" t="s">
        <v>316</v>
      </c>
      <c r="AB54" s="120" t="s">
        <v>316</v>
      </c>
      <c r="AC54" s="120" t="s">
        <v>316</v>
      </c>
      <c r="AD54" s="120" t="s">
        <v>316</v>
      </c>
      <c r="AE54" s="120" t="s">
        <v>316</v>
      </c>
      <c r="AF54" s="120" t="s">
        <v>316</v>
      </c>
      <c r="AG54" s="120" t="s">
        <v>316</v>
      </c>
      <c r="AH54" s="120" t="s">
        <v>316</v>
      </c>
      <c r="AI54" s="120" t="s">
        <v>316</v>
      </c>
      <c r="AJ54" s="120" t="s">
        <v>316</v>
      </c>
      <c r="AK54" s="120" t="s">
        <v>316</v>
      </c>
      <c r="AL54" s="117">
        <f t="shared" si="1"/>
        <v>0</v>
      </c>
      <c r="AM54" s="120"/>
      <c r="AN54" s="120" t="s">
        <v>316</v>
      </c>
      <c r="AO54" s="120" t="s">
        <v>316</v>
      </c>
      <c r="AP54" s="120" t="s">
        <v>316</v>
      </c>
      <c r="AQ54" s="120" t="s">
        <v>316</v>
      </c>
      <c r="AR54" s="120" t="s">
        <v>316</v>
      </c>
      <c r="AS54" s="120" t="s">
        <v>316</v>
      </c>
      <c r="AT54" s="120" t="s">
        <v>316</v>
      </c>
      <c r="AU54" s="120" t="s">
        <v>316</v>
      </c>
      <c r="AV54" s="120" t="s">
        <v>316</v>
      </c>
      <c r="AW54" s="120" t="s">
        <v>316</v>
      </c>
      <c r="AX54" s="120" t="s">
        <v>316</v>
      </c>
      <c r="AY54" s="117">
        <f t="shared" si="2"/>
        <v>0</v>
      </c>
      <c r="AZ54" s="120"/>
      <c r="BA54" s="120" t="s">
        <v>316</v>
      </c>
      <c r="BB54" s="120" t="s">
        <v>316</v>
      </c>
      <c r="BC54" s="120" t="s">
        <v>316</v>
      </c>
      <c r="BD54" s="120" t="s">
        <v>316</v>
      </c>
      <c r="BE54" s="120" t="s">
        <v>316</v>
      </c>
      <c r="BF54" s="120" t="s">
        <v>316</v>
      </c>
      <c r="BG54" s="120" t="s">
        <v>316</v>
      </c>
      <c r="BH54" s="120" t="s">
        <v>316</v>
      </c>
      <c r="BI54" s="120" t="s">
        <v>316</v>
      </c>
      <c r="BJ54" s="120" t="s">
        <v>316</v>
      </c>
      <c r="BK54" s="120" t="s">
        <v>316</v>
      </c>
      <c r="BL54" s="117">
        <f>BY54</f>
        <v>58966</v>
      </c>
      <c r="BM54" s="120"/>
      <c r="BN54" s="120">
        <v>308171</v>
      </c>
      <c r="BO54" s="120">
        <v>7333</v>
      </c>
      <c r="BP54" s="120">
        <v>34039</v>
      </c>
      <c r="BQ54" s="120" t="s">
        <v>316</v>
      </c>
      <c r="BR54" s="120">
        <v>5168</v>
      </c>
      <c r="BS54" s="120">
        <v>0</v>
      </c>
      <c r="BT54" s="120">
        <v>0</v>
      </c>
      <c r="BU54" s="120">
        <v>0</v>
      </c>
      <c r="BV54" s="120">
        <v>0</v>
      </c>
      <c r="BW54" s="120">
        <v>0</v>
      </c>
      <c r="BX54" s="120">
        <v>13083</v>
      </c>
      <c r="BY54" s="117">
        <f t="shared" si="4"/>
        <v>58966</v>
      </c>
      <c r="BZ54" s="120"/>
      <c r="CA54" s="120">
        <v>186134</v>
      </c>
      <c r="CB54" s="120">
        <v>7733</v>
      </c>
      <c r="CC54" s="120">
        <v>30767</v>
      </c>
      <c r="CD54" s="120" t="s">
        <v>316</v>
      </c>
      <c r="CE54" s="120">
        <v>4847</v>
      </c>
      <c r="CF54" s="120">
        <v>0</v>
      </c>
      <c r="CG54" s="120">
        <v>0</v>
      </c>
      <c r="CH54" s="120">
        <v>0</v>
      </c>
      <c r="CI54" s="120">
        <v>0</v>
      </c>
      <c r="CJ54" s="120">
        <v>0</v>
      </c>
      <c r="CK54" s="120">
        <v>12830</v>
      </c>
      <c r="CL54" s="117">
        <f t="shared" si="5"/>
        <v>59654</v>
      </c>
      <c r="CM54" s="120"/>
      <c r="CN54" s="120" t="s">
        <v>316</v>
      </c>
      <c r="CO54" s="120" t="s">
        <v>316</v>
      </c>
      <c r="CP54" s="120" t="s">
        <v>316</v>
      </c>
      <c r="CQ54" s="120" t="s">
        <v>316</v>
      </c>
      <c r="CR54" s="120" t="s">
        <v>316</v>
      </c>
      <c r="CS54" s="120" t="s">
        <v>316</v>
      </c>
      <c r="CT54" s="120" t="s">
        <v>316</v>
      </c>
      <c r="CU54" s="120" t="s">
        <v>316</v>
      </c>
      <c r="CV54" s="120" t="s">
        <v>316</v>
      </c>
      <c r="CW54" s="120" t="s">
        <v>316</v>
      </c>
      <c r="CX54" s="120" t="s">
        <v>316</v>
      </c>
      <c r="CY54" s="117">
        <f t="shared" si="6"/>
        <v>0</v>
      </c>
      <c r="CZ54" s="120"/>
      <c r="DA54" s="120" t="s">
        <v>316</v>
      </c>
      <c r="DB54" s="120" t="s">
        <v>316</v>
      </c>
      <c r="DC54" s="120" t="s">
        <v>316</v>
      </c>
      <c r="DD54" s="120" t="s">
        <v>316</v>
      </c>
      <c r="DE54" s="120" t="s">
        <v>316</v>
      </c>
      <c r="DF54" s="120" t="s">
        <v>316</v>
      </c>
      <c r="DG54" s="120" t="s">
        <v>316</v>
      </c>
      <c r="DH54" s="120" t="s">
        <v>316</v>
      </c>
      <c r="DI54" s="120" t="s">
        <v>316</v>
      </c>
      <c r="DJ54" s="120" t="s">
        <v>316</v>
      </c>
      <c r="DK54" s="120" t="s">
        <v>316</v>
      </c>
      <c r="DL54" s="117">
        <f t="shared" si="7"/>
        <v>764</v>
      </c>
      <c r="DM54" s="120"/>
      <c r="DN54" s="120" t="s">
        <v>316</v>
      </c>
      <c r="DO54" s="120" t="s">
        <v>316</v>
      </c>
      <c r="DP54" s="120" t="s">
        <v>316</v>
      </c>
      <c r="DQ54" s="120" t="s">
        <v>316</v>
      </c>
      <c r="DR54" s="120" t="s">
        <v>316</v>
      </c>
      <c r="DS54" s="120" t="s">
        <v>316</v>
      </c>
      <c r="DT54" s="120" t="s">
        <v>316</v>
      </c>
      <c r="DU54" s="120" t="s">
        <v>316</v>
      </c>
      <c r="DV54" s="120" t="s">
        <v>316</v>
      </c>
      <c r="DW54" s="120" t="s">
        <v>316</v>
      </c>
      <c r="DX54" s="120" t="s">
        <v>316</v>
      </c>
      <c r="DY54" s="117">
        <f t="shared" si="8"/>
        <v>665</v>
      </c>
      <c r="DZ54" s="116"/>
      <c r="EA54" s="121">
        <f t="shared" si="17"/>
        <v>58966</v>
      </c>
      <c r="EB54" s="121">
        <f t="shared" si="17"/>
        <v>59730</v>
      </c>
      <c r="EC54" s="121">
        <f t="shared" si="17"/>
        <v>60319</v>
      </c>
      <c r="ED54" s="116"/>
      <c r="EE54" s="121" t="str">
        <f t="shared" si="10"/>
        <v>ERROR</v>
      </c>
      <c r="EF54" s="118" t="str">
        <f t="shared" si="11"/>
        <v/>
      </c>
      <c r="EG54" s="118" t="str">
        <f t="shared" si="12"/>
        <v/>
      </c>
      <c r="EH54" s="116"/>
      <c r="EI54" s="120" t="s">
        <v>316</v>
      </c>
      <c r="EJ54" s="120" t="s">
        <v>316</v>
      </c>
      <c r="EK54" s="120" t="s">
        <v>316</v>
      </c>
      <c r="EL54" s="120" t="s">
        <v>316</v>
      </c>
      <c r="EM54" s="120" t="s">
        <v>316</v>
      </c>
      <c r="EN54" s="117">
        <f t="shared" si="13"/>
        <v>0</v>
      </c>
      <c r="EO54" s="120" t="s">
        <v>316</v>
      </c>
      <c r="EP54" s="120" t="s">
        <v>316</v>
      </c>
      <c r="EQ54" s="120" t="s">
        <v>316</v>
      </c>
      <c r="ER54" s="120" t="s">
        <v>316</v>
      </c>
      <c r="ES54" s="120" t="s">
        <v>316</v>
      </c>
      <c r="ET54" s="117">
        <f t="shared" si="14"/>
        <v>0</v>
      </c>
      <c r="EU54" s="120" t="s">
        <v>316</v>
      </c>
      <c r="EV54" s="120" t="s">
        <v>316</v>
      </c>
      <c r="EW54" s="120" t="s">
        <v>316</v>
      </c>
      <c r="EX54" s="120" t="s">
        <v>316</v>
      </c>
      <c r="EY54" s="120" t="s">
        <v>316</v>
      </c>
      <c r="EZ54" s="117">
        <f t="shared" si="15"/>
        <v>0</v>
      </c>
    </row>
    <row r="55" spans="1:156" x14ac:dyDescent="0.4">
      <c r="A55" s="116" t="s">
        <v>360</v>
      </c>
      <c r="B55" s="119">
        <v>4063341</v>
      </c>
      <c r="C55" s="116" t="s">
        <v>359</v>
      </c>
      <c r="D55" s="120">
        <v>0</v>
      </c>
      <c r="E55" s="120">
        <v>637199</v>
      </c>
      <c r="F55" s="120">
        <v>0</v>
      </c>
      <c r="G55" s="120">
        <v>0</v>
      </c>
      <c r="H55" s="120">
        <v>512535</v>
      </c>
      <c r="I55" s="120">
        <v>0</v>
      </c>
      <c r="J55" s="120">
        <v>0</v>
      </c>
      <c r="K55" s="120">
        <v>411567</v>
      </c>
      <c r="L55" s="120">
        <v>0</v>
      </c>
      <c r="M55" s="120"/>
      <c r="N55" s="120" t="s">
        <v>316</v>
      </c>
      <c r="O55" s="120" t="s">
        <v>316</v>
      </c>
      <c r="P55" s="120" t="s">
        <v>316</v>
      </c>
      <c r="Q55" s="120" t="s">
        <v>316</v>
      </c>
      <c r="R55" s="120" t="s">
        <v>316</v>
      </c>
      <c r="S55" s="120" t="s">
        <v>316</v>
      </c>
      <c r="T55" s="120" t="s">
        <v>316</v>
      </c>
      <c r="U55" s="120" t="s">
        <v>316</v>
      </c>
      <c r="V55" s="120" t="s">
        <v>316</v>
      </c>
      <c r="W55" s="120" t="s">
        <v>316</v>
      </c>
      <c r="X55" s="120" t="s">
        <v>316</v>
      </c>
      <c r="Y55" s="117">
        <f t="shared" si="0"/>
        <v>0</v>
      </c>
      <c r="Z55" s="120"/>
      <c r="AA55" s="120" t="s">
        <v>316</v>
      </c>
      <c r="AB55" s="120" t="s">
        <v>316</v>
      </c>
      <c r="AC55" s="120" t="s">
        <v>316</v>
      </c>
      <c r="AD55" s="120" t="s">
        <v>316</v>
      </c>
      <c r="AE55" s="120" t="s">
        <v>316</v>
      </c>
      <c r="AF55" s="120" t="s">
        <v>316</v>
      </c>
      <c r="AG55" s="120" t="s">
        <v>316</v>
      </c>
      <c r="AH55" s="120" t="s">
        <v>316</v>
      </c>
      <c r="AI55" s="120" t="s">
        <v>316</v>
      </c>
      <c r="AJ55" s="120" t="s">
        <v>316</v>
      </c>
      <c r="AK55" s="120" t="s">
        <v>316</v>
      </c>
      <c r="AL55" s="117">
        <f t="shared" si="1"/>
        <v>0</v>
      </c>
      <c r="AM55" s="120"/>
      <c r="AN55" s="120" t="s">
        <v>316</v>
      </c>
      <c r="AO55" s="120" t="s">
        <v>316</v>
      </c>
      <c r="AP55" s="120" t="s">
        <v>316</v>
      </c>
      <c r="AQ55" s="120" t="s">
        <v>316</v>
      </c>
      <c r="AR55" s="120" t="s">
        <v>316</v>
      </c>
      <c r="AS55" s="120" t="s">
        <v>316</v>
      </c>
      <c r="AT55" s="120" t="s">
        <v>316</v>
      </c>
      <c r="AU55" s="120" t="s">
        <v>316</v>
      </c>
      <c r="AV55" s="120" t="s">
        <v>316</v>
      </c>
      <c r="AW55" s="120" t="s">
        <v>316</v>
      </c>
      <c r="AX55" s="120" t="s">
        <v>316</v>
      </c>
      <c r="AY55" s="117">
        <f t="shared" si="2"/>
        <v>0</v>
      </c>
      <c r="AZ55" s="120"/>
      <c r="BA55" s="120">
        <v>397578</v>
      </c>
      <c r="BB55" s="120">
        <v>11953</v>
      </c>
      <c r="BC55" s="120">
        <v>42022</v>
      </c>
      <c r="BD55" s="120" t="s">
        <v>316</v>
      </c>
      <c r="BE55" s="120">
        <v>4013</v>
      </c>
      <c r="BF55" s="120">
        <v>0</v>
      </c>
      <c r="BG55" s="120">
        <v>0</v>
      </c>
      <c r="BH55" s="120">
        <v>0</v>
      </c>
      <c r="BI55" s="120">
        <v>8673</v>
      </c>
      <c r="BJ55" s="120">
        <v>6691</v>
      </c>
      <c r="BK55" s="120">
        <v>53867</v>
      </c>
      <c r="BL55" s="117">
        <f>BY55</f>
        <v>110735</v>
      </c>
      <c r="BM55" s="120"/>
      <c r="BN55" s="120">
        <v>281535</v>
      </c>
      <c r="BO55" s="120">
        <v>10695</v>
      </c>
      <c r="BP55" s="120">
        <v>51121</v>
      </c>
      <c r="BQ55" s="120" t="s">
        <v>316</v>
      </c>
      <c r="BR55" s="120">
        <v>3535</v>
      </c>
      <c r="BS55" s="120">
        <v>41</v>
      </c>
      <c r="BT55" s="120">
        <v>0</v>
      </c>
      <c r="BU55" s="120">
        <v>0</v>
      </c>
      <c r="BV55" s="120">
        <v>9277</v>
      </c>
      <c r="BW55" s="120">
        <v>2123</v>
      </c>
      <c r="BX55" s="120">
        <v>47719</v>
      </c>
      <c r="BY55" s="117">
        <f t="shared" si="4"/>
        <v>110735</v>
      </c>
      <c r="BZ55" s="120"/>
      <c r="CA55" s="120">
        <v>242179</v>
      </c>
      <c r="CB55" s="120">
        <v>8823</v>
      </c>
      <c r="CC55" s="120">
        <v>42970</v>
      </c>
      <c r="CD55" s="120" t="s">
        <v>316</v>
      </c>
      <c r="CE55" s="120">
        <v>2396</v>
      </c>
      <c r="CF55" s="120">
        <v>130</v>
      </c>
      <c r="CG55" s="120">
        <v>0</v>
      </c>
      <c r="CH55" s="120">
        <v>0</v>
      </c>
      <c r="CI55" s="120">
        <v>7617</v>
      </c>
      <c r="CJ55" s="120">
        <v>7824</v>
      </c>
      <c r="CK55" s="120">
        <v>40893</v>
      </c>
      <c r="CL55" s="117">
        <f t="shared" si="5"/>
        <v>74383</v>
      </c>
      <c r="CM55" s="120"/>
      <c r="CN55" s="120" t="s">
        <v>316</v>
      </c>
      <c r="CO55" s="120" t="s">
        <v>316</v>
      </c>
      <c r="CP55" s="120" t="s">
        <v>316</v>
      </c>
      <c r="CQ55" s="120" t="s">
        <v>316</v>
      </c>
      <c r="CR55" s="120" t="s">
        <v>316</v>
      </c>
      <c r="CS55" s="120" t="s">
        <v>316</v>
      </c>
      <c r="CT55" s="120" t="s">
        <v>316</v>
      </c>
      <c r="CU55" s="120" t="s">
        <v>316</v>
      </c>
      <c r="CV55" s="120" t="s">
        <v>316</v>
      </c>
      <c r="CW55" s="120" t="s">
        <v>316</v>
      </c>
      <c r="CX55" s="120" t="s">
        <v>316</v>
      </c>
      <c r="CY55" s="117">
        <f t="shared" si="6"/>
        <v>0</v>
      </c>
      <c r="CZ55" s="120"/>
      <c r="DA55" s="120" t="s">
        <v>316</v>
      </c>
      <c r="DB55" s="120" t="s">
        <v>316</v>
      </c>
      <c r="DC55" s="120" t="s">
        <v>316</v>
      </c>
      <c r="DD55" s="120" t="s">
        <v>316</v>
      </c>
      <c r="DE55" s="120" t="s">
        <v>316</v>
      </c>
      <c r="DF55" s="120" t="s">
        <v>316</v>
      </c>
      <c r="DG55" s="120" t="s">
        <v>316</v>
      </c>
      <c r="DH55" s="120" t="s">
        <v>316</v>
      </c>
      <c r="DI55" s="120" t="s">
        <v>316</v>
      </c>
      <c r="DJ55" s="120" t="s">
        <v>316</v>
      </c>
      <c r="DK55" s="120" t="s">
        <v>316</v>
      </c>
      <c r="DL55" s="117">
        <f t="shared" si="7"/>
        <v>0</v>
      </c>
      <c r="DM55" s="120"/>
      <c r="DN55" s="120" t="s">
        <v>316</v>
      </c>
      <c r="DO55" s="120" t="s">
        <v>316</v>
      </c>
      <c r="DP55" s="120" t="s">
        <v>316</v>
      </c>
      <c r="DQ55" s="120" t="s">
        <v>316</v>
      </c>
      <c r="DR55" s="120" t="s">
        <v>316</v>
      </c>
      <c r="DS55" s="120" t="s">
        <v>316</v>
      </c>
      <c r="DT55" s="120" t="s">
        <v>316</v>
      </c>
      <c r="DU55" s="120" t="s">
        <v>316</v>
      </c>
      <c r="DV55" s="120" t="s">
        <v>316</v>
      </c>
      <c r="DW55" s="120" t="s">
        <v>316</v>
      </c>
      <c r="DX55" s="120" t="s">
        <v>316</v>
      </c>
      <c r="DY55" s="117">
        <f t="shared" si="8"/>
        <v>0</v>
      </c>
      <c r="DZ55" s="116"/>
      <c r="EA55" s="121">
        <f t="shared" si="17"/>
        <v>110735</v>
      </c>
      <c r="EB55" s="121">
        <f t="shared" si="17"/>
        <v>110735</v>
      </c>
      <c r="EC55" s="121">
        <f t="shared" si="17"/>
        <v>74383</v>
      </c>
      <c r="ED55" s="116"/>
      <c r="EE55" s="121" t="str">
        <f t="shared" si="10"/>
        <v>ERROR</v>
      </c>
      <c r="EF55" s="118" t="str">
        <f t="shared" si="11"/>
        <v/>
      </c>
      <c r="EG55" s="118" t="str">
        <f t="shared" si="12"/>
        <v/>
      </c>
      <c r="EH55" s="116"/>
      <c r="EI55" s="120" t="s">
        <v>316</v>
      </c>
      <c r="EJ55" s="120" t="s">
        <v>316</v>
      </c>
      <c r="EK55" s="120" t="s">
        <v>316</v>
      </c>
      <c r="EL55" s="120" t="s">
        <v>316</v>
      </c>
      <c r="EM55" s="120" t="s">
        <v>316</v>
      </c>
      <c r="EN55" s="117">
        <f t="shared" si="13"/>
        <v>0</v>
      </c>
      <c r="EO55" s="120" t="s">
        <v>316</v>
      </c>
      <c r="EP55" s="120" t="s">
        <v>316</v>
      </c>
      <c r="EQ55" s="120" t="s">
        <v>316</v>
      </c>
      <c r="ER55" s="120" t="s">
        <v>316</v>
      </c>
      <c r="ES55" s="120" t="s">
        <v>316</v>
      </c>
      <c r="ET55" s="117">
        <f t="shared" si="14"/>
        <v>0</v>
      </c>
      <c r="EU55" s="120" t="s">
        <v>316</v>
      </c>
      <c r="EV55" s="120" t="s">
        <v>316</v>
      </c>
      <c r="EW55" s="120" t="s">
        <v>316</v>
      </c>
      <c r="EX55" s="120" t="s">
        <v>316</v>
      </c>
      <c r="EY55" s="120" t="s">
        <v>316</v>
      </c>
      <c r="EZ55" s="117">
        <f t="shared" si="15"/>
        <v>0</v>
      </c>
    </row>
    <row r="56" spans="1:156" x14ac:dyDescent="0.4">
      <c r="A56" s="116" t="s">
        <v>361</v>
      </c>
      <c r="B56" s="119">
        <v>3010781</v>
      </c>
      <c r="C56" s="116" t="s">
        <v>359</v>
      </c>
      <c r="D56" s="120">
        <v>2543607</v>
      </c>
      <c r="E56" s="120">
        <v>0</v>
      </c>
      <c r="F56" s="120">
        <v>0</v>
      </c>
      <c r="G56" s="120">
        <v>2179988</v>
      </c>
      <c r="H56" s="120">
        <v>0</v>
      </c>
      <c r="I56" s="120">
        <v>0</v>
      </c>
      <c r="J56" s="120">
        <v>1884106</v>
      </c>
      <c r="K56" s="120">
        <v>0</v>
      </c>
      <c r="L56" s="120">
        <v>0</v>
      </c>
      <c r="M56" s="120"/>
      <c r="N56" s="120">
        <v>1598991</v>
      </c>
      <c r="O56" s="120">
        <v>99323</v>
      </c>
      <c r="P56" s="120">
        <v>358537</v>
      </c>
      <c r="Q56" s="120">
        <v>0</v>
      </c>
      <c r="R56" s="120">
        <v>29098</v>
      </c>
      <c r="S56" s="120">
        <v>186</v>
      </c>
      <c r="T56" s="120">
        <v>29347</v>
      </c>
      <c r="U56" s="120">
        <v>0</v>
      </c>
      <c r="V56" s="120">
        <v>133899</v>
      </c>
      <c r="W56" s="120">
        <v>552106</v>
      </c>
      <c r="X56" s="120">
        <v>199543</v>
      </c>
      <c r="Y56" s="117">
        <f t="shared" si="0"/>
        <v>646789</v>
      </c>
      <c r="Z56" s="120"/>
      <c r="AA56" s="120">
        <v>1070760</v>
      </c>
      <c r="AB56" s="120">
        <v>107377</v>
      </c>
      <c r="AC56" s="120">
        <v>355618</v>
      </c>
      <c r="AD56" s="120">
        <v>0</v>
      </c>
      <c r="AE56" s="120">
        <v>17204</v>
      </c>
      <c r="AF56" s="120">
        <v>186</v>
      </c>
      <c r="AG56" s="120">
        <v>0</v>
      </c>
      <c r="AH56" s="120">
        <v>0</v>
      </c>
      <c r="AI56" s="120">
        <v>112753</v>
      </c>
      <c r="AJ56" s="120">
        <v>160725</v>
      </c>
      <c r="AK56" s="120">
        <v>180260</v>
      </c>
      <c r="AL56" s="117">
        <f t="shared" si="1"/>
        <v>496555</v>
      </c>
      <c r="AM56" s="120"/>
      <c r="AN56" s="120">
        <v>803534</v>
      </c>
      <c r="AO56" s="120">
        <v>99939</v>
      </c>
      <c r="AP56" s="120">
        <v>337640</v>
      </c>
      <c r="AQ56" s="120">
        <v>0</v>
      </c>
      <c r="AR56" s="120">
        <v>220</v>
      </c>
      <c r="AS56" s="120">
        <v>186</v>
      </c>
      <c r="AT56" s="120">
        <v>0</v>
      </c>
      <c r="AU56" s="120">
        <v>0</v>
      </c>
      <c r="AV56" s="120">
        <v>65597</v>
      </c>
      <c r="AW56" s="120">
        <v>111273</v>
      </c>
      <c r="AX56" s="120">
        <v>160497</v>
      </c>
      <c r="AY56" s="117">
        <f t="shared" si="2"/>
        <v>527766</v>
      </c>
      <c r="AZ56" s="120"/>
      <c r="BA56" s="120">
        <v>0</v>
      </c>
      <c r="BB56" s="120">
        <v>0</v>
      </c>
      <c r="BC56" s="120">
        <v>0</v>
      </c>
      <c r="BD56" s="120">
        <v>0</v>
      </c>
      <c r="BE56" s="120">
        <v>0</v>
      </c>
      <c r="BF56" s="120">
        <v>0</v>
      </c>
      <c r="BG56" s="120">
        <v>0</v>
      </c>
      <c r="BH56" s="120">
        <v>0</v>
      </c>
      <c r="BI56" s="120">
        <v>0</v>
      </c>
      <c r="BJ56" s="120">
        <v>0</v>
      </c>
      <c r="BK56" s="120">
        <v>0</v>
      </c>
      <c r="BL56" s="117">
        <f t="shared" si="3"/>
        <v>0</v>
      </c>
      <c r="BM56" s="120"/>
      <c r="BN56" s="120">
        <v>0</v>
      </c>
      <c r="BO56" s="120">
        <v>0</v>
      </c>
      <c r="BP56" s="120">
        <v>0</v>
      </c>
      <c r="BQ56" s="120">
        <v>0</v>
      </c>
      <c r="BR56" s="120">
        <v>0</v>
      </c>
      <c r="BS56" s="120">
        <v>0</v>
      </c>
      <c r="BT56" s="120">
        <v>0</v>
      </c>
      <c r="BU56" s="120">
        <v>0</v>
      </c>
      <c r="BV56" s="120">
        <v>0</v>
      </c>
      <c r="BW56" s="120">
        <v>0</v>
      </c>
      <c r="BX56" s="120">
        <v>0</v>
      </c>
      <c r="BY56" s="117">
        <f t="shared" si="4"/>
        <v>0</v>
      </c>
      <c r="BZ56" s="120"/>
      <c r="CA56" s="120">
        <v>0</v>
      </c>
      <c r="CB56" s="120">
        <v>0</v>
      </c>
      <c r="CC56" s="120">
        <v>0</v>
      </c>
      <c r="CD56" s="120">
        <v>0</v>
      </c>
      <c r="CE56" s="120">
        <v>0</v>
      </c>
      <c r="CF56" s="120">
        <v>0</v>
      </c>
      <c r="CG56" s="120">
        <v>0</v>
      </c>
      <c r="CH56" s="120">
        <v>0</v>
      </c>
      <c r="CI56" s="120">
        <v>0</v>
      </c>
      <c r="CJ56" s="120">
        <v>0</v>
      </c>
      <c r="CK56" s="120">
        <v>0</v>
      </c>
      <c r="CL56" s="117">
        <f t="shared" si="5"/>
        <v>0</v>
      </c>
      <c r="CM56" s="120"/>
      <c r="CN56" s="120">
        <v>0</v>
      </c>
      <c r="CO56" s="120">
        <v>0</v>
      </c>
      <c r="CP56" s="120">
        <v>0</v>
      </c>
      <c r="CQ56" s="120">
        <v>0</v>
      </c>
      <c r="CR56" s="120">
        <v>0</v>
      </c>
      <c r="CS56" s="120">
        <v>0</v>
      </c>
      <c r="CT56" s="120">
        <v>0</v>
      </c>
      <c r="CU56" s="120">
        <v>0</v>
      </c>
      <c r="CV56" s="120">
        <v>0</v>
      </c>
      <c r="CW56" s="120">
        <v>0</v>
      </c>
      <c r="CX56" s="120">
        <v>0</v>
      </c>
      <c r="CY56" s="117">
        <f t="shared" si="6"/>
        <v>0</v>
      </c>
      <c r="CZ56" s="120"/>
      <c r="DA56" s="120">
        <v>0</v>
      </c>
      <c r="DB56" s="120">
        <v>0</v>
      </c>
      <c r="DC56" s="120">
        <v>0</v>
      </c>
      <c r="DD56" s="120">
        <v>0</v>
      </c>
      <c r="DE56" s="120">
        <v>0</v>
      </c>
      <c r="DF56" s="120">
        <v>0</v>
      </c>
      <c r="DG56" s="120">
        <v>0</v>
      </c>
      <c r="DH56" s="120">
        <v>0</v>
      </c>
      <c r="DI56" s="120">
        <v>0</v>
      </c>
      <c r="DJ56" s="120">
        <v>0</v>
      </c>
      <c r="DK56" s="120">
        <v>0</v>
      </c>
      <c r="DL56" s="117">
        <f t="shared" si="7"/>
        <v>0</v>
      </c>
      <c r="DM56" s="120"/>
      <c r="DN56" s="120">
        <v>0</v>
      </c>
      <c r="DO56" s="120">
        <v>0</v>
      </c>
      <c r="DP56" s="120">
        <v>0</v>
      </c>
      <c r="DQ56" s="120">
        <v>0</v>
      </c>
      <c r="DR56" s="120">
        <v>0</v>
      </c>
      <c r="DS56" s="120">
        <v>0</v>
      </c>
      <c r="DT56" s="120">
        <v>0</v>
      </c>
      <c r="DU56" s="120">
        <v>0</v>
      </c>
      <c r="DV56" s="120">
        <v>0</v>
      </c>
      <c r="DW56" s="120">
        <v>0</v>
      </c>
      <c r="DX56" s="120">
        <v>0</v>
      </c>
      <c r="DY56" s="117">
        <f t="shared" si="8"/>
        <v>0</v>
      </c>
      <c r="DZ56" s="116"/>
      <c r="EA56" s="121">
        <f t="shared" si="17"/>
        <v>646789</v>
      </c>
      <c r="EB56" s="121">
        <f t="shared" si="17"/>
        <v>496555</v>
      </c>
      <c r="EC56" s="121">
        <f t="shared" si="17"/>
        <v>527766</v>
      </c>
      <c r="ED56" s="116"/>
      <c r="EE56" s="121" t="str">
        <f t="shared" si="10"/>
        <v/>
      </c>
      <c r="EF56" s="118" t="str">
        <f t="shared" si="11"/>
        <v/>
      </c>
      <c r="EG56" s="118" t="str">
        <f t="shared" si="12"/>
        <v/>
      </c>
      <c r="EH56" s="116"/>
      <c r="EI56" s="120">
        <v>9105314</v>
      </c>
      <c r="EJ56" s="120">
        <v>9105314</v>
      </c>
      <c r="EK56" s="120">
        <v>0</v>
      </c>
      <c r="EL56" s="120">
        <v>0</v>
      </c>
      <c r="EM56" s="120">
        <v>0</v>
      </c>
      <c r="EN56" s="117">
        <f t="shared" si="13"/>
        <v>9105314</v>
      </c>
      <c r="EO56" s="120">
        <v>8378215</v>
      </c>
      <c r="EP56" s="120">
        <v>8378215</v>
      </c>
      <c r="EQ56" s="120">
        <v>0</v>
      </c>
      <c r="ER56" s="120">
        <v>0</v>
      </c>
      <c r="ES56" s="120">
        <v>0</v>
      </c>
      <c r="ET56" s="117">
        <f t="shared" si="14"/>
        <v>8378215</v>
      </c>
      <c r="EU56" s="120">
        <v>8123021</v>
      </c>
      <c r="EV56" s="120">
        <v>8123021</v>
      </c>
      <c r="EW56" s="120">
        <v>0</v>
      </c>
      <c r="EX56" s="120">
        <v>0</v>
      </c>
      <c r="EY56" s="120">
        <v>0</v>
      </c>
      <c r="EZ56" s="117">
        <f t="shared" si="15"/>
        <v>8123021</v>
      </c>
    </row>
    <row r="61" spans="1:156" x14ac:dyDescent="0.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4"/>
      <c r="BP61" s="124"/>
      <c r="BQ61" s="124"/>
      <c r="BR61" s="124"/>
      <c r="BS61" s="124"/>
      <c r="BT61" s="124"/>
      <c r="BU61" s="124"/>
      <c r="BV61" s="124"/>
      <c r="BW61" s="124"/>
      <c r="BX61" s="124"/>
      <c r="BY61" s="124"/>
      <c r="BZ61" s="124"/>
      <c r="CA61" s="124"/>
      <c r="CB61" s="124"/>
      <c r="CC61" s="124"/>
      <c r="CD61" s="124"/>
      <c r="CE61" s="124"/>
      <c r="CF61" s="124"/>
      <c r="CG61" s="124"/>
      <c r="CH61" s="124"/>
      <c r="CI61" s="124"/>
      <c r="CJ61" s="124"/>
      <c r="CK61" s="124"/>
      <c r="CL61" s="124"/>
      <c r="CM61" s="124"/>
      <c r="CN61" s="124"/>
      <c r="CO61" s="124"/>
      <c r="CP61" s="124"/>
      <c r="CQ61" s="124"/>
      <c r="CR61" s="124"/>
      <c r="CS61" s="124"/>
      <c r="CT61" s="124"/>
      <c r="CU61" s="124"/>
      <c r="CV61" s="124"/>
      <c r="CW61" s="124"/>
      <c r="CX61" s="124"/>
      <c r="CY61" s="124"/>
      <c r="CZ61" s="124"/>
      <c r="DA61" s="124"/>
      <c r="DB61" s="124"/>
      <c r="DC61" s="124"/>
      <c r="DD61" s="124"/>
      <c r="DE61" s="124"/>
      <c r="DF61" s="124"/>
      <c r="DG61" s="124"/>
      <c r="DH61" s="124"/>
      <c r="DI61" s="124"/>
      <c r="DJ61" s="124"/>
      <c r="DK61" s="124"/>
      <c r="DL61" s="124"/>
      <c r="DM61" s="124"/>
      <c r="DN61" s="124"/>
      <c r="DO61" s="124"/>
      <c r="DP61" s="124"/>
      <c r="DQ61" s="124"/>
      <c r="DR61" s="124"/>
      <c r="DS61" s="124"/>
      <c r="DT61" s="124"/>
      <c r="DU61" s="124"/>
      <c r="DV61" s="124"/>
      <c r="DW61" s="124"/>
      <c r="DX61" s="124"/>
      <c r="DY61" s="124"/>
      <c r="DZ61" s="124"/>
      <c r="EA61" s="124"/>
      <c r="EB61" s="124"/>
      <c r="EC61" s="124"/>
      <c r="ED61" s="124"/>
      <c r="EE61" s="124"/>
      <c r="EF61" s="124"/>
      <c r="EG61" s="124"/>
      <c r="EH61" s="124"/>
      <c r="EI61" s="124"/>
      <c r="EJ61" s="124"/>
      <c r="EK61" s="124"/>
      <c r="EL61" s="124"/>
      <c r="EM61" s="124"/>
      <c r="EN61" s="121"/>
      <c r="EO61" s="124"/>
      <c r="EP61" s="124"/>
      <c r="EQ61" s="124"/>
      <c r="ER61" s="124"/>
      <c r="ES61" s="124"/>
      <c r="ET61" s="124"/>
      <c r="EU61" s="124"/>
      <c r="EV61" s="124"/>
      <c r="EW61" s="124"/>
      <c r="EX61" s="124"/>
      <c r="EY61" s="124"/>
    </row>
  </sheetData>
  <pageMargins left="0.7" right="0.7" top="0.75" bottom="0.75" header="0.3" footer="0.3"/>
  <pageSetup orientation="portrait" r:id="rId1"/>
  <headerFooter>
    <oddHeader>&amp;RDocket No. 20210015-El
OPC's 3rd INTs to FPL
Response to Question No. 147 - Full Proxy Group Screen</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EE042498D1174595C7AC81B9C09B17" ma:contentTypeVersion="2" ma:contentTypeDescription="Create a new document." ma:contentTypeScope="" ma:versionID="772a6cb08df9a9a5b3311013623b9894">
  <xsd:schema xmlns:xsd="http://www.w3.org/2001/XMLSchema" xmlns:xs="http://www.w3.org/2001/XMLSchema" xmlns:p="http://schemas.microsoft.com/office/2006/metadata/properties" xmlns:ns2="cbf8210f-c37b-4270-bd52-f0f0f7fb6aec" targetNamespace="http://schemas.microsoft.com/office/2006/metadata/properties" ma:root="true" ma:fieldsID="ec6701f1940b60839d6dca91a9d3ce31" ns2:_="">
    <xsd:import namespace="cbf8210f-c37b-4270-bd52-f0f0f7fb6ae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210f-c37b-4270-bd52-f0f0f7fb6ae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D4F3FC-0543-4AD0-903F-E7A801293394}"/>
</file>

<file path=customXml/itemProps2.xml><?xml version="1.0" encoding="utf-8"?>
<ds:datastoreItem xmlns:ds="http://schemas.openxmlformats.org/officeDocument/2006/customXml" ds:itemID="{4A01D83F-C0E0-4482-8CE9-A9A6030D4F6A}"/>
</file>

<file path=customXml/itemProps3.xml><?xml version="1.0" encoding="utf-8"?>
<ds:datastoreItem xmlns:ds="http://schemas.openxmlformats.org/officeDocument/2006/customXml" ds:itemID="{3D45D634-0CCB-49CB-A80C-A0DD1B6609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Proxy Group Screen</vt:lpstr>
      <vt:lpstr>Business Segment</vt:lpstr>
      <vt:lpstr>FERC Form 1_2 Data</vt:lpstr>
      <vt:lpstr>MRY</vt:lpstr>
      <vt:lpstr>MRY_1</vt:lpstr>
      <vt:lpstr>MRY_2</vt:lpstr>
      <vt:lpstr>Update_Year_E</vt:lpstr>
      <vt:lpstr>Update_Year_NG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CA-NP-192, Attachment B</dc:title>
  <dc:subject/>
  <dc:creator>Wale Akanni</dc:creator>
  <cp:keywords/>
  <dc:description/>
  <cp:lastModifiedBy>John Trogonoski</cp:lastModifiedBy>
  <cp:revision/>
  <dcterms:created xsi:type="dcterms:W3CDTF">2021-03-19T16:36:07Z</dcterms:created>
  <dcterms:modified xsi:type="dcterms:W3CDTF">2024-02-23T17:11:11Z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0x010100AFEE042498D1174595C7AC81B9C09B17</vt:lpwstr>
  </property>
  <property fmtid="{D5CDD505-2E9C-101B-9397-08002B2CF9AE}" pid="3" name="{A44787D4-0540-4523-9961-78E4036D8C6D}">
    <vt:lpwstr>{600DBD8B-9DA3-4591-A862-5EED1E7FE5DA}</vt:lpwstr>
  </property>
  <property fmtid="{D5CDD505-2E9C-101B-9397-08002B2CF9AE}" pid="4" name="MediaServiceImageTags">
    <vt:lpwstr/>
  </property>
</Properties>
</file>